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30" windowWidth="23535" windowHeight="10200" activeTab="0"/>
  </bookViews>
  <sheets>
    <sheet name="Cover" sheetId="1" r:id="rId1"/>
    <sheet name="Contents" sheetId="2" r:id="rId2"/>
    <sheet name="Assumptions_SC" sheetId="3" r:id="rId3"/>
    <sheet name="TS_BA" sheetId="4" r:id="rId4"/>
    <sheet name="Rev_Hist_TA" sheetId="5" r:id="rId5"/>
    <sheet name="Rev_Fcast_TA" sheetId="6" r:id="rId6"/>
    <sheet name="Outputs_SC" sheetId="7" r:id="rId7"/>
    <sheet name="Rev_Hist_TO" sheetId="8" r:id="rId8"/>
    <sheet name="Rev_Fcast_TO" sheetId="9" r:id="rId9"/>
    <sheet name="Revenue_TO" sheetId="10" r:id="rId10"/>
    <sheet name="Revenue_Dashboard_P_TO" sheetId="11" r:id="rId11"/>
    <sheet name="Appendices_SC" sheetId="12" r:id="rId12"/>
    <sheet name="Lookup_Tables_SSC" sheetId="13" r:id="rId13"/>
    <sheet name="TS_LU" sheetId="14" r:id="rId14"/>
    <sheet name="Revenue_LU" sheetId="15" r:id="rId15"/>
    <sheet name="Checks_SSC" sheetId="16" r:id="rId16"/>
    <sheet name="Checks_BO" sheetId="17" r:id="rId17"/>
  </sheets>
  <definedNames>
    <definedName name="Alt_Chks_Msg">'Checks_BO'!$I$50</definedName>
    <definedName name="Alt_Chks_Ttl_Areas">'Checks_BO'!$M$56</definedName>
    <definedName name="Annual">'TS_LU'!$D$77</definedName>
    <definedName name="BA_Alt_Chks" hidden="1">'Checks_BO'!$41:$56</definedName>
    <definedName name="BA_Err_Chks" hidden="1">'Checks_BO'!$5:$24</definedName>
    <definedName name="BA_LU" hidden="1">'TS_LU'!$5:$105</definedName>
    <definedName name="BA_Sens_Chks" hidden="1">'Checks_BO'!$25:$40</definedName>
    <definedName name="BA_TS_Ass" hidden="1">'TS_BA'!$5:$65</definedName>
    <definedName name="Billion">'TS_LU'!$D$105</definedName>
    <definedName name="Billions">'TS_LU'!$D$63</definedName>
    <definedName name="BPM_TC_1" hidden="1">'TS_BA'!$D$11</definedName>
    <definedName name="BPM_TC_2" hidden="1">'TS_BA'!$J$14</definedName>
    <definedName name="CA_Alt_Chks">'Checks_BO'!$K$55</definedName>
    <definedName name="CA_Alt_Chks_Area_Names">'Checks_BO'!$D$55</definedName>
    <definedName name="CA_Alt_Chks_Flags">'Checks_BO'!$M$55</definedName>
    <definedName name="CA_Alt_Chks_Inc">'Checks_BO'!$L$55</definedName>
    <definedName name="CA_Err_Chks">'Checks_BO'!$K$20:$K$22</definedName>
    <definedName name="CA_Err_Chks_Area_Names">'Checks_BO'!$D$20:$D$22</definedName>
    <definedName name="CA_Err_Chks_Flags">'Checks_BO'!$M$20:$M$22</definedName>
    <definedName name="CA_Err_Chks_Inc">'Checks_BO'!$L$20:$L$22</definedName>
    <definedName name="CA_Sens_Chks">'Checks_BO'!$K$39</definedName>
    <definedName name="CA_Sens_Chks_Area_Names">'Checks_BO'!$D$39</definedName>
    <definedName name="CA_Sens_Chks_Flags">'Checks_BO'!$M$39</definedName>
    <definedName name="CA_Sens_Chks_Inc">'Checks_BO'!$L$39</definedName>
    <definedName name="CB_Alt_Chks_Show_Msg">'Checks_BO'!$C$45</definedName>
    <definedName name="CB_Err_Chks_Show_Msg">'Checks_BO'!$C$9</definedName>
    <definedName name="CB_Sens_Chks_Show_Msg">'Checks_BO'!$C$29</definedName>
    <definedName name="CB_TS_Show_Hist_Fcast_Pers">'TS_BA'!$J$31</definedName>
    <definedName name="Currency">'TS_LU'!$D$66</definedName>
    <definedName name="DD_TS_Data_Term_Basis">'TS_BA'!$J$40</definedName>
    <definedName name="DD_TS_Denom">'TS_BA'!$J$26</definedName>
    <definedName name="DD_TS_Fin_YE_Day">'TS_BA'!$J$13</definedName>
    <definedName name="DD_TS_Fin_YE_Mth">'TS_BA'!$K$13</definedName>
    <definedName name="Err_Chk_1_Hdg" hidden="1">'Rev_Hist_TO'!$B$1</definedName>
    <definedName name="Err_Chk_2_Hdg" hidden="1">'Rev_Fcast_TO'!$B$1</definedName>
    <definedName name="Err_Chk_3_Hdg" hidden="1">'Revenue_TO'!$B$1</definedName>
    <definedName name="Err_Chks_Msg">'Checks_BO'!$I$14</definedName>
    <definedName name="Err_Chks_Ttl_Areas">'Checks_BO'!$M$24</definedName>
    <definedName name="Half_Yr_Name">'TS_LU'!$D$86</definedName>
    <definedName name="Halves_In_Yr">'TS_LU'!$D$94</definedName>
    <definedName name="HL_Alt_Chk">'Checks_BO'!$B$43</definedName>
    <definedName name="HL_Err_Chk">'Checks_BO'!$B$7</definedName>
    <definedName name="HL_Err_Chk_1" hidden="1">'Rev_Hist_TO'!$I$27</definedName>
    <definedName name="HL_Err_Chk_2" hidden="1">'Rev_Fcast_TO'!$I$27</definedName>
    <definedName name="HL_Err_Chk_3" hidden="1">'Revenue_TO'!$I$27</definedName>
    <definedName name="HL_Home">'Contents'!$B$1</definedName>
    <definedName name="HL_Sens_Chk">'Checks_BO'!$B$27</definedName>
    <definedName name="HL_Sheet_Main" hidden="1">'Cover'!$A$1</definedName>
    <definedName name="HL_Sheet_Main_10" hidden="1">'TS_LU'!$A$1</definedName>
    <definedName name="HL_Sheet_Main_11" hidden="1">'Checks_SSC'!$A$1</definedName>
    <definedName name="HL_Sheet_Main_12" hidden="1">'Checks_BO'!$A$1</definedName>
    <definedName name="HL_Sheet_Main_13" hidden="1">'Rev_Fcast_TA'!$A$1</definedName>
    <definedName name="HL_Sheet_Main_14" hidden="1">'Rev_Hist_TO'!$A$1</definedName>
    <definedName name="HL_Sheet_Main_15" hidden="1">'Rev_Fcast_TO'!$A$1</definedName>
    <definedName name="HL_Sheet_Main_16" hidden="1">'Revenue_Dashboard_P_TO'!$A$1</definedName>
    <definedName name="HL_Sheet_Main_17" hidden="1">'Revenue_LU'!$A$1</definedName>
    <definedName name="HL_Sheet_Main_2" hidden="1">'Contents'!$A$1</definedName>
    <definedName name="HL_Sheet_Main_3" hidden="1">'Assumptions_SC'!$A$1</definedName>
    <definedName name="HL_Sheet_Main_4" hidden="1">'TS_BA'!$A$1</definedName>
    <definedName name="HL_Sheet_Main_5" hidden="1">'Rev_Hist_TA'!$A$1</definedName>
    <definedName name="HL_Sheet_Main_6" hidden="1">'Outputs_SC'!$A$1</definedName>
    <definedName name="HL_Sheet_Main_7" hidden="1">'Revenue_TO'!$A$1</definedName>
    <definedName name="HL_Sheet_Main_8" hidden="1">'Appendices_SC'!$A$1</definedName>
    <definedName name="HL_Sheet_Main_9" hidden="1">'Lookup_Tables_SSC'!$A$1</definedName>
    <definedName name="HL_TOC_1" hidden="1">'TS_LU'!$B$7</definedName>
    <definedName name="HL_TOC_2" hidden="1">'TS_BA'!$B$7</definedName>
    <definedName name="HL_TOC_3" hidden="1">'Checks_BO'!$B$7</definedName>
    <definedName name="HL_TOC_4" hidden="1">'Checks_BO'!$B$27</definedName>
    <definedName name="HL_TOC_5" hidden="1">'Checks_BO'!$B$43</definedName>
    <definedName name="Hundred">'TS_LU'!$D$102</definedName>
    <definedName name="LU_Data_Term_Basis">'TS_LU'!$D$71:$D$72</definedName>
    <definedName name="LU_Denom">'TS_LU'!$D$63:$D$66</definedName>
    <definedName name="LU_Mth_Days">'TS_LU'!$D$12:$D$42</definedName>
    <definedName name="LU_Mth_Names">'TS_LU'!$D$47:$D$58</definedName>
    <definedName name="LU_Period_Type_Names">'TS_LU'!$D$85:$D$88</definedName>
    <definedName name="LU_Periodicity">'TS_LU'!$D$77:$D$80</definedName>
    <definedName name="LU_Pers_In_Yr">'TS_LU'!$D$93:$D$96</definedName>
    <definedName name="LU_Revenue_Period">'Revenue_LU'!$D$12:$D$21</definedName>
    <definedName name="Million">'TS_LU'!$D$104</definedName>
    <definedName name="Millions">'TS_LU'!$D$64</definedName>
    <definedName name="Model_Name">'Cover'!$C$10</definedName>
    <definedName name="Mth_Name">'TS_LU'!$D$88</definedName>
    <definedName name="Mthly">'TS_LU'!$D$80</definedName>
    <definedName name="Mths_In_Yr">'TS_LU'!$D$96</definedName>
    <definedName name="_xlnm.Print_Area" localSheetId="11">'Appendices_SC'!$B$1:$N$30</definedName>
    <definedName name="_xlnm.Print_Area" localSheetId="2">'Assumptions_SC'!$B$1:$N$30</definedName>
    <definedName name="_xlnm.Print_Area" localSheetId="16">'Checks_BO'!$B$1:$Q$56</definedName>
    <definedName name="_xlnm.Print_Area" localSheetId="15">'Checks_SSC'!$B$1:$N$30</definedName>
    <definedName name="_xlnm.Print_Area" localSheetId="1">'Contents'!$B$1:$Q$27</definedName>
    <definedName name="_xlnm.Print_Area" localSheetId="0">'Cover'!$B$1:$N$30</definedName>
    <definedName name="_xlnm.Print_Area" localSheetId="12">'Lookup_Tables_SSC'!$B$1:$N$30</definedName>
    <definedName name="_xlnm.Print_Area" localSheetId="6">'Outputs_SC'!$B$1:$N$30</definedName>
    <definedName name="_xlnm.Print_Area" localSheetId="5">'Rev_Fcast_TA'!$B$1:$S$40</definedName>
    <definedName name="_xlnm.Print_Area" localSheetId="8">'Rev_Fcast_TO'!$B$1:$S$27</definedName>
    <definedName name="_xlnm.Print_Area" localSheetId="4">'Rev_Hist_TA'!$B$1:$S$40</definedName>
    <definedName name="_xlnm.Print_Area" localSheetId="7">'Rev_Hist_TO'!$B$1:$S$27</definedName>
    <definedName name="_xlnm.Print_Area" localSheetId="10">'Revenue_Dashboard_P_TO'!$B$1:$T$49</definedName>
    <definedName name="_xlnm.Print_Area" localSheetId="14">'Revenue_LU'!$B$1:$G$40</definedName>
    <definedName name="_xlnm.Print_Area" localSheetId="9">'Revenue_TO'!$B$1:$S$27</definedName>
    <definedName name="_xlnm.Print_Area" localSheetId="3">'TS_BA'!$B$1:$Q$65</definedName>
    <definedName name="_xlnm.Print_Area" localSheetId="13">'TS_LU'!$B$1:$G$105</definedName>
    <definedName name="_xlnm.Print_Titles" localSheetId="16">'Checks_BO'!$1:$6</definedName>
    <definedName name="_xlnm.Print_Titles" localSheetId="1">'Contents'!$1:$7</definedName>
    <definedName name="_xlnm.Print_Titles" localSheetId="5">'Rev_Fcast_TA'!$1:$15</definedName>
    <definedName name="_xlnm.Print_Titles" localSheetId="8">'Rev_Fcast_TO'!$1:$15</definedName>
    <definedName name="_xlnm.Print_Titles" localSheetId="4">'Rev_Hist_TA'!$1:$15</definedName>
    <definedName name="_xlnm.Print_Titles" localSheetId="7">'Rev_Hist_TO'!$1:$15</definedName>
    <definedName name="_xlnm.Print_Titles" localSheetId="10">'Revenue_Dashboard_P_TO'!$1:$15</definedName>
    <definedName name="_xlnm.Print_Titles" localSheetId="9">'Revenue_TO'!$1:$15</definedName>
    <definedName name="_xlnm.Print_Titles" localSheetId="3">'TS_BA'!$1:$6</definedName>
    <definedName name="_xlnm.Print_Titles" localSheetId="13">'TS_LU'!$1:$6</definedName>
    <definedName name="Qtr_Name">'TS_LU'!$D$87</definedName>
    <definedName name="Qtrly">'TS_LU'!$D$79</definedName>
    <definedName name="Qtrs_In_Yr">'TS_LU'!$D$95</definedName>
    <definedName name="RA_TS_Ass_Actual_Per_Title">'TS_BA'!$34:$34</definedName>
    <definedName name="RA_TS_Ass_Actual_Pers">'TS_BA'!$32:$32</definedName>
    <definedName name="RA_TS_Ass_Budget_Per_Title">'TS_BA'!$35:$35</definedName>
    <definedName name="RA_TS_Ass_Budget_Pers">'TS_BA'!$33:$33</definedName>
    <definedName name="RA_TS_Ass_Core_Fin_YE">'TS_BA'!$13:$13</definedName>
    <definedName name="RA_TS_Ass_Core_Main_Ass_Hdg">'TS_BA'!$9:$9</definedName>
    <definedName name="RA_TS_Ass_Core_Main_Ass_Hdg_Spacer">'TS_BA'!$8:$8</definedName>
    <definedName name="RA_TS_Ass_Core_Main_Ass_Spacer">'TS_BA'!$10:$10</definedName>
    <definedName name="RA_TS_Ass_Core_Main_Hdg">'TS_BA'!$7:$7</definedName>
    <definedName name="RA_TS_Ass_Core_Main_Hdg_Spacer1">'TS_BA'!$5:$5</definedName>
    <definedName name="RA_TS_Ass_Core_Main_Hdg_Spacer2">'TS_BA'!$6:$6</definedName>
    <definedName name="RA_TS_Ass_Data_Ass_Spacer">'TS_BA'!$45:$45</definedName>
    <definedName name="RA_TS_Ass_Data_End_Date">'TS_BA'!$46:$46</definedName>
    <definedName name="RA_TS_Ass_Data_Final_Stub">'TS_BA'!$49:$49</definedName>
    <definedName name="RA_TS_Ass_Data_Full_Pers">'TS_BA'!$48:$48</definedName>
    <definedName name="RA_TS_Ass_Data_Hdg">'TS_BA'!$44:$44</definedName>
    <definedName name="RA_TS_Ass_Data_Hdg_Spacer">'TS_BA'!$43:$43</definedName>
    <definedName name="RA_TS_Ass_Data_Pers_Ass">'TS_BA'!$41:$41</definedName>
    <definedName name="RA_TS_Ass_Data_Proj_Ass_Spacer">'TS_BA'!$39:$39</definedName>
    <definedName name="RA_TS_Ass_Data_Proj_Hdg">'TS_BA'!$38:$38</definedName>
    <definedName name="RA_TS_Ass_Data_Proj_Hdg_Spacer">'TS_BA'!$37:$37</definedName>
    <definedName name="RA_TS_Ass_Data_Term_Basis">'TS_BA'!$40:$40</definedName>
    <definedName name="RA_TS_Ass_Data_Total_Pers">'TS_BA'!$47:$47</definedName>
    <definedName name="RA_TS_Ass_Denom">'TS_BA'!$26:$26</definedName>
    <definedName name="RA_TS_Ass_Denom_Label">'TS_BA'!$27:$27</definedName>
    <definedName name="RA_TS_Ass_Fcast_Per_Title">'TS_BA'!$36:$36</definedName>
    <definedName name="RA_TS_Ass_Hist_Fcast_Ass_Spacer">'TS_BA'!$30:$30</definedName>
    <definedName name="RA_TS_Ass_Hist_Fcast_Hdg">'TS_BA'!$29:$29</definedName>
    <definedName name="RA_TS_Ass_Hist_Fcast_Hdg_Spacer">'TS_BA'!$28:$28</definedName>
    <definedName name="RA_TS_Ass_Mth_End">'TS_BA'!$18:$18</definedName>
    <definedName name="RA_TS_Ass_Mths_In_Per">'TS_BA'!$22:$22</definedName>
    <definedName name="RA_TS_Ass_Note_Budget_Per">'TS_BA'!$63:$63</definedName>
    <definedName name="RA_TS_Ass_Note_Data_Proj_Timing">'TS_BA'!$64:$64</definedName>
    <definedName name="RA_TS_Ass_Note_Denom">'TS_BA'!$62:$62</definedName>
    <definedName name="RA_TS_Ass_Note_Fin_YE">'TS_BA'!$61:$61</definedName>
    <definedName name="RA_TS_Ass_Note_Inactive_Cols_Treat">'TS_BA'!$65:$65</definedName>
    <definedName name="RA_TS_Ass_Notes_Hdg">'TS_BA'!$60:$60</definedName>
    <definedName name="RA_TS_Ass_Notes_Hdg_Spacer">'TS_BA'!$59:$59</definedName>
    <definedName name="RA_TS_Ass_Per_1_End_Date">'TS_BA'!$25:$25</definedName>
    <definedName name="RA_TS_Ass_Per_1_FY_End_Date">'TS_BA'!$20:$20</definedName>
    <definedName name="RA_TS_Ass_Per_1_FY_Start_Date">'TS_BA'!$19:$19</definedName>
    <definedName name="RA_TS_Ass_Per_1_Number">'TS_BA'!$23:$23</definedName>
    <definedName name="RA_TS_Ass_Per_1_Start_Date">'TS_BA'!$24:$24</definedName>
    <definedName name="RA_TS_Ass_Per_Type_Name">'TS_BA'!$16:$16</definedName>
    <definedName name="RA_TS_Ass_Per_Type_Prefix">'TS_BA'!$17:$17</definedName>
    <definedName name="RA_TS_Ass_Periodicity">'TS_BA'!$12:$12</definedName>
    <definedName name="RA_TS_Ass_Pers_In_Yr">'TS_BA'!$21:$21</definedName>
    <definedName name="RA_TS_Ass_Proj_Ass_Spacer">'TS_BA'!$52:$52</definedName>
    <definedName name="RA_TS_Ass_Proj_Hdg">'TS_BA'!$51:$51</definedName>
    <definedName name="RA_TS_Ass_Proj_Hdg_Spacer">'TS_BA'!$50:$50</definedName>
    <definedName name="RA_TS_Ass_Proj_Per_1_End_Date">'TS_BA'!$58:$58</definedName>
    <definedName name="RA_TS_Ass_Proj_Per_1_FY_End_Date">'TS_BA'!$55:$55</definedName>
    <definedName name="RA_TS_Ass_Proj_Per_1_FY_Start_Date">'TS_BA'!$54:$54</definedName>
    <definedName name="RA_TS_Ass_Proj_Per_1_Number">'TS_BA'!$56:$56</definedName>
    <definedName name="RA_TS_Ass_Proj_Per_1_Start_Date">'TS_BA'!$57:$57</definedName>
    <definedName name="RA_TS_Ass_Proj_Start_Date">'TS_BA'!$53:$53</definedName>
    <definedName name="RA_TS_Ass_Proj_Start_Date_Ass">'TS_BA'!$42:$42</definedName>
    <definedName name="RA_TS_Ass_Show_Hist_Fcast_Pers">'TS_BA'!$31:$31</definedName>
    <definedName name="RA_TS_Ass_Start_Date">'TS_BA'!$14:$14</definedName>
    <definedName name="RA_TS_Ass_Std_Pers">'TS_BA'!$15:$15</definedName>
    <definedName name="RA_TS_Ass_Title">'TS_BA'!$11:$11</definedName>
    <definedName name="Revenue_Category_1_Name">'Rev_Hist_TA'!$C$19</definedName>
    <definedName name="Revenue_Category_2_Name">'Rev_Hist_TA'!$C$20</definedName>
    <definedName name="Revenue_Category_3_Name">'Rev_Hist_TA'!$C$21</definedName>
    <definedName name="Revenue_Category_4_Name">'Rev_Hist_TA'!$C$22</definedName>
    <definedName name="Revenue_Category_5_Name">'Rev_Hist_TA'!$C$23</definedName>
    <definedName name="Revenue_Category_6_Name">'Rev_Hist_TA'!$C$24</definedName>
    <definedName name="Semi_Annual">'TS_LU'!$D$78</definedName>
    <definedName name="Sens_Chks_Msg">'Checks_BO'!$I$34</definedName>
    <definedName name="Sens_Chks_Ttl_Areas">'Checks_BO'!$M$40</definedName>
    <definedName name="TBXBST" localSheetId="11" hidden="1">"|B|SC|B|"</definedName>
    <definedName name="TBXBST" localSheetId="2" hidden="1">"|B|SC|B|"</definedName>
    <definedName name="TBXBST" localSheetId="16" hidden="1">"|B|BO|B|"</definedName>
    <definedName name="TBXBST" localSheetId="15" hidden="1">"|B|SSC|B|"</definedName>
    <definedName name="TBXBST" localSheetId="1" hidden="1">"|B|Contents|B|"</definedName>
    <definedName name="TBXBST" localSheetId="0" hidden="1">"|B|Cover|B|"</definedName>
    <definedName name="TBXBST" localSheetId="12" hidden="1">"|B|SSC|B|"</definedName>
    <definedName name="TBXBST" localSheetId="6" hidden="1">"|B|SC|B|"</definedName>
    <definedName name="TBXBST" localSheetId="5" hidden="1">"|B|TA|B||T|Proj|T||N|1|N||FTSCN|10|FTSCN||TSP|10|TSP|"</definedName>
    <definedName name="TBXBST" localSheetId="8" hidden="1">"|B|TO|B||T|Proj|T||N|1|N||FTSCN|10|FTSCN||TSP|10|TSP|"</definedName>
    <definedName name="TBXBST" localSheetId="4" hidden="1">"|B|TA|B||T|Data|T||N|1|N||FTSCN|10|FTSCN||TSP|10|TSP|"</definedName>
    <definedName name="TBXBST" localSheetId="7" hidden="1">"|B|TO|B||T|Data|T||N|1|N||FTSCN|10|FTSCN||TSP|10|TSP|"</definedName>
    <definedName name="TBXBST" localSheetId="10" hidden="1">"|B|TO|B||T|All|T||N|1|N||FTSCN|10|FTSCN||TSP|10|TSP||P|"</definedName>
    <definedName name="TBXBST" localSheetId="14" hidden="1">"|B|LU|B|"</definedName>
    <definedName name="TBXBST" localSheetId="9" hidden="1">"|B|TO|B||T|All|T||N|1|N||FTSCN|10|FTSCN||TSP|10|TSP|"</definedName>
    <definedName name="TBXBST" localSheetId="3" hidden="1">"|B|BA|B|"</definedName>
    <definedName name="TBXBST" localSheetId="13" hidden="1">"|B|LU|B|"</definedName>
    <definedName name="Ten">'TS_LU'!$D$101</definedName>
    <definedName name="Thousand">'TS_LU'!$D$103</definedName>
    <definedName name="Thousands">'TS_LU'!$D$65</definedName>
    <definedName name="TOC_Hdg_1" hidden="1">'TS_LU'!$B$7</definedName>
    <definedName name="TOC_Hdg_2" hidden="1">'TS_BA'!$B$7</definedName>
    <definedName name="TOC_Hdg_3" hidden="1">'Checks_BO'!$B$7</definedName>
    <definedName name="TOC_Hdg_4" hidden="1">'Checks_BO'!$B$27</definedName>
    <definedName name="TOC_Hdg_5" hidden="1">'Checks_BO'!$B$43</definedName>
    <definedName name="TS">'TS_BA'!$J$65</definedName>
    <definedName name="TS_Actual_Per_Title">'TS_BA'!$J$34</definedName>
    <definedName name="TS_Actual_Pers">'TS_BA'!$J$32</definedName>
    <definedName name="TS_Budget_Per_Title">'TS_BA'!$J$35</definedName>
    <definedName name="TS_Budget_Pers">'TS_BA'!$J$33</definedName>
    <definedName name="TS_Data_End_Date">'TS_BA'!$J$46</definedName>
    <definedName name="TS_Data_Final_Stub">'TS_BA'!$J$49</definedName>
    <definedName name="TS_Data_Full_Pers">'TS_BA'!$J$48</definedName>
    <definedName name="TS_Data_Pers_Ass">'TS_BA'!$J$41</definedName>
    <definedName name="TS_Data_Total_Pers">'TS_BA'!$J$47</definedName>
    <definedName name="TS_Denom_Label">'TS_BA'!$J$27</definedName>
    <definedName name="TS_Fcast_Per_Title">'TS_BA'!$J$36</definedName>
    <definedName name="TS_Mth_End">'TS_BA'!$J$18</definedName>
    <definedName name="TS_Mths_In_Per">'TS_BA'!$J$22</definedName>
    <definedName name="TS_Per_1_End_Date">'TS_BA'!$J$25</definedName>
    <definedName name="TS_Per_1_FY_End_Date">'TS_BA'!$J$20</definedName>
    <definedName name="TS_Per_1_FY_Start_Date">'TS_BA'!$J$19</definedName>
    <definedName name="TS_Per_1_Number">'TS_BA'!$J$23</definedName>
    <definedName name="TS_Per_1_Start_Date">'TS_BA'!$J$24</definedName>
    <definedName name="TS_Per_Type_Name">'TS_BA'!$J$16</definedName>
    <definedName name="TS_Per_Type_Prefix">'TS_BA'!$J$17</definedName>
    <definedName name="TS_Periodicity">'TS_BA'!$J$12</definedName>
    <definedName name="TS_Pers_In_Yr">'TS_BA'!$J$21</definedName>
    <definedName name="TS_Proj_Per_1_End_Date">'TS_BA'!$J$58</definedName>
    <definedName name="TS_Proj_Per_1_FY_End_Date">'TS_BA'!$J$55</definedName>
    <definedName name="TS_Proj_Per_1_FY_Start_Date">'TS_BA'!$J$54</definedName>
    <definedName name="TS_Proj_Per_1_Number">'TS_BA'!$J$56</definedName>
    <definedName name="TS_Proj_Per_1_Start_Date">'TS_BA'!$J$57</definedName>
    <definedName name="TS_Proj_Start_Date">'TS_BA'!$J$53</definedName>
    <definedName name="TS_Proj_Start_Date_Ass">'TS_BA'!$J$42</definedName>
    <definedName name="TS_Start_Date">'TS_BA'!$J$14</definedName>
    <definedName name="TS_Std_Pers">'TS_BA'!$J$15</definedName>
    <definedName name="TS_Title">'TS_BA'!$J$11</definedName>
    <definedName name="Yr_Name">'TS_LU'!$D$85</definedName>
    <definedName name="Yrs_In_Yr">'TS_LU'!$D$93</definedName>
  </definedNames>
  <calcPr fullCalcOnLoad="1"/>
</workbook>
</file>

<file path=xl/comments10.xml><?xml version="1.0" encoding="utf-8"?>
<comments xmlns="http://schemas.openxmlformats.org/spreadsheetml/2006/main">
  <authors>
    <author>Michael Hutchens</author>
  </authors>
  <commentList>
    <comment ref="I27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</commentList>
</comments>
</file>

<file path=xl/comments4.xml><?xml version="1.0" encoding="utf-8"?>
<comments xmlns="http://schemas.openxmlformats.org/spreadsheetml/2006/main">
  <authors>
    <author>Michael Hutchens</author>
    <author>Best Practice Modelling</author>
  </authors>
  <commentList>
    <comment ref="E46" authorId="0">
      <text>
        <r>
          <rPr>
            <b/>
            <sz val="9"/>
            <rFont val="Tahoma"/>
            <family val="2"/>
          </rPr>
          <t>Data time series sheets will end at this date.</t>
        </r>
      </text>
    </comment>
    <comment ref="E47" authorId="0">
      <text>
        <r>
          <rPr>
            <b/>
            <sz val="9"/>
            <rFont val="Tahoma"/>
            <family val="2"/>
          </rPr>
          <t>Total number of active columns on data time series sheets.</t>
        </r>
      </text>
    </comment>
    <comment ref="E48" authorId="0">
      <text>
        <r>
          <rPr>
            <b/>
            <sz val="9"/>
            <rFont val="Tahoma"/>
            <family val="2"/>
          </rPr>
          <t>Period number of last full period on data time series sheets. First period is always treated as a full period if more than one total period.</t>
        </r>
      </text>
    </comment>
    <comment ref="E49" authorId="0">
      <text>
        <r>
          <rPr>
            <b/>
            <sz val="9"/>
            <rFont val="Tahoma"/>
            <family val="2"/>
          </rPr>
          <t>Indicates whether or not the final active period of data time series sheets is a partial period.</t>
        </r>
      </text>
    </comment>
    <comment ref="J14" authorId="1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Assumption cells NOT protected (BPMC 14-2, BPMC 14-3).</t>
        </r>
      </text>
    </comment>
    <comment ref="D11" authorId="1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Non-assumptions cells protected (14-2, BPMC 14-3).</t>
        </r>
      </text>
    </comment>
  </commentList>
</comments>
</file>

<file path=xl/comments8.xml><?xml version="1.0" encoding="utf-8"?>
<comments xmlns="http://schemas.openxmlformats.org/spreadsheetml/2006/main">
  <authors>
    <author>Michael Hutchens</author>
  </authors>
  <commentList>
    <comment ref="I27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</commentList>
</comments>
</file>

<file path=xl/comments9.xml><?xml version="1.0" encoding="utf-8"?>
<comments xmlns="http://schemas.openxmlformats.org/spreadsheetml/2006/main">
  <authors>
    <author>Michael Hutchens</author>
  </authors>
  <commentList>
    <comment ref="I27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</commentList>
</comments>
</file>

<file path=xl/sharedStrings.xml><?xml version="1.0" encoding="utf-8"?>
<sst xmlns="http://schemas.openxmlformats.org/spreadsheetml/2006/main" count="382" uniqueCount="201">
  <si>
    <t>Cover Notes:</t>
  </si>
  <si>
    <t>Go to Table of Contents</t>
  </si>
  <si>
    <t>Table of Contents</t>
  </si>
  <si>
    <t>Go to Cover Sheet</t>
  </si>
  <si>
    <t>é</t>
  </si>
  <si>
    <t>Section &amp; Sheet Titles</t>
  </si>
  <si>
    <t>Section Cover Notes:</t>
  </si>
  <si>
    <t>[Insert section cover note 1]</t>
  </si>
  <si>
    <t>[Insert section cover note 2]</t>
  </si>
  <si>
    <t>[Insert section cover note 3]</t>
  </si>
  <si>
    <t>ç</t>
  </si>
  <si>
    <t>è</t>
  </si>
  <si>
    <t>Assumptions</t>
  </si>
  <si>
    <t>Time Series Assumptions</t>
  </si>
  <si>
    <t>Outputs</t>
  </si>
  <si>
    <t>Appendices</t>
  </si>
  <si>
    <t>Sub-Section Cover Notes:</t>
  </si>
  <si>
    <t>[Insert sub-section cover note 1]</t>
  </si>
  <si>
    <t>[Insert sub-section cover note 2]</t>
  </si>
  <si>
    <t>[Insert sub-section cover note 3]</t>
  </si>
  <si>
    <t>Lookup Tables</t>
  </si>
  <si>
    <t>Names</t>
  </si>
  <si>
    <t>Time Series Lookup Tables</t>
  </si>
  <si>
    <t>Checks</t>
  </si>
  <si>
    <t>Month Days</t>
  </si>
  <si>
    <t>LU_Mth_Days</t>
  </si>
  <si>
    <t>Month Names</t>
  </si>
  <si>
    <t>LU_Mth_Names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</si>
  <si>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</si>
  <si>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</si>
  <si>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</si>
  <si>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</si>
  <si>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</si>
  <si>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</si>
  <si>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</si>
  <si>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</si>
  <si>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</si>
  <si>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</si>
  <si>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</si>
  <si>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</si>
  <si>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Denomination</t>
  </si>
  <si>
    <t>LU_Denom</t>
  </si>
  <si>
    <t>$Billions</t>
  </si>
  <si>
    <t>Billions</t>
  </si>
  <si>
    <t>$Millions</t>
  </si>
  <si>
    <t>Millions</t>
  </si>
  <si>
    <t>$'000</t>
  </si>
  <si>
    <t>Thousands</t>
  </si>
  <si>
    <t>$</t>
  </si>
  <si>
    <t>Currency</t>
  </si>
  <si>
    <t>Data Term Basis</t>
  </si>
  <si>
    <t>LU_Data_Term_Basis</t>
  </si>
  <si>
    <t>Active Data Periods</t>
  </si>
  <si>
    <t>Projections Start</t>
  </si>
  <si>
    <t>Periodicity</t>
  </si>
  <si>
    <t>LU_Periodicity</t>
  </si>
  <si>
    <t>Annual</t>
  </si>
  <si>
    <t>Semi-Annual</t>
  </si>
  <si>
    <t>Semi_Annual</t>
  </si>
  <si>
    <t>Quarterly</t>
  </si>
  <si>
    <t>Qtrly</t>
  </si>
  <si>
    <t>Monthly</t>
  </si>
  <si>
    <t>Mthly</t>
  </si>
  <si>
    <t>Period Type Names</t>
  </si>
  <si>
    <t>LU_Period_Type_Names</t>
  </si>
  <si>
    <t>Year</t>
  </si>
  <si>
    <t>Yr_Name</t>
  </si>
  <si>
    <t>Half Year</t>
  </si>
  <si>
    <t>Half_Yr_Name</t>
  </si>
  <si>
    <t>Quarter</t>
  </si>
  <si>
    <t>Qtr_Name</t>
  </si>
  <si>
    <t>Month</t>
  </si>
  <si>
    <t>Mth_Name</t>
  </si>
  <si>
    <t>Periods In Year</t>
  </si>
  <si>
    <t>LU_Pers_In_Yr</t>
  </si>
  <si>
    <t>Yrs_In_Yr</t>
  </si>
  <si>
    <t>Halves_In_Yr</t>
  </si>
  <si>
    <t>Qtrs_In_Yr</t>
  </si>
  <si>
    <t>Mths_In_Yr</t>
  </si>
  <si>
    <t>Conversion Factors</t>
  </si>
  <si>
    <t>Ten</t>
  </si>
  <si>
    <t>Hundred</t>
  </si>
  <si>
    <t>Thousand</t>
  </si>
  <si>
    <t>Million</t>
  </si>
  <si>
    <t>Billion</t>
  </si>
  <si>
    <t>Core Time Series Assumptions</t>
  </si>
  <si>
    <t>Title</t>
  </si>
  <si>
    <t>Financial Year End</t>
  </si>
  <si>
    <t>Start Date</t>
  </si>
  <si>
    <t>Periods</t>
  </si>
  <si>
    <t>Period Type</t>
  </si>
  <si>
    <t>Period Type Prefix</t>
  </si>
  <si>
    <t>Financial Year End Is Month End?</t>
  </si>
  <si>
    <t>First Period Financial Year Start Date</t>
  </si>
  <si>
    <t>First Period Financial Year End Date</t>
  </si>
  <si>
    <t>Months In Period</t>
  </si>
  <si>
    <t>First Period Financial Period Number</t>
  </si>
  <si>
    <t>First Period Start Date (If Full Period)</t>
  </si>
  <si>
    <t>First Period End Date</t>
  </si>
  <si>
    <t>Denomination Label</t>
  </si>
  <si>
    <t>Historical &amp; Forecast Period Titles</t>
  </si>
  <si>
    <t>Include in Period Titles?</t>
  </si>
  <si>
    <t>Actual Periods</t>
  </si>
  <si>
    <t>Budget Periods</t>
  </si>
  <si>
    <t>Historical / Actual Periods Title</t>
  </si>
  <si>
    <t>Budget Periods Title</t>
  </si>
  <si>
    <t>Forecast Period Title</t>
  </si>
  <si>
    <t>Data &amp; Projections - Timing Assumptions</t>
  </si>
  <si>
    <t>Data - Active Periods</t>
  </si>
  <si>
    <t>Projections - Start Date</t>
  </si>
  <si>
    <t>Data Time Series Sheets</t>
  </si>
  <si>
    <t>Data End Date</t>
  </si>
  <si>
    <t>Total Data Periods</t>
  </si>
  <si>
    <t>Full Data Periods</t>
  </si>
  <si>
    <t>Final Data Period Is Stub</t>
  </si>
  <si>
    <t>Projections Time Series Sheets</t>
  </si>
  <si>
    <t>Projections Start Date</t>
  </si>
  <si>
    <t>Notes:</t>
  </si>
  <si>
    <t>-</t>
  </si>
  <si>
    <t>A Financial Year End assumption of 28th of February is assumed to be a month end financial year end, even in a leap year.</t>
  </si>
  <si>
    <t>The "Model Denomination" assumption will not necessarily automatically change the denomination of the outputs of this model.</t>
  </si>
  <si>
    <t>A "Budget Period" refers to either a period in the current financial year or periods containing combined actual and forecast data.</t>
  </si>
  <si>
    <t>"Data &amp; Projections - Timing Assumptions" are used as the basis for related data and projections time series sheets.</t>
  </si>
  <si>
    <t>"Inactive Columns Treatment" will only be operative if macros have been included in the active workbook to manage inactive data and projections columns.</t>
  </si>
  <si>
    <t>Primary</t>
  </si>
  <si>
    <t>(A)</t>
  </si>
  <si>
    <t>(B)</t>
  </si>
  <si>
    <t>(F)</t>
  </si>
  <si>
    <t>Error Checks</t>
  </si>
  <si>
    <t>Errors Detected - Summary</t>
  </si>
  <si>
    <t>Check</t>
  </si>
  <si>
    <t>Include?</t>
  </si>
  <si>
    <t>Flag</t>
  </si>
  <si>
    <t>Total Errors:</t>
  </si>
  <si>
    <t>Error Message (Empty if None):</t>
  </si>
  <si>
    <t>Sensitivity Checks</t>
  </si>
  <si>
    <t>Sensitivities Detected - Summary</t>
  </si>
  <si>
    <t>Total Sensitivities:</t>
  </si>
  <si>
    <t>Sensitivity Message (Empty if None):</t>
  </si>
  <si>
    <t>Alert Checks</t>
  </si>
  <si>
    <t>Alerts Detected - Summary</t>
  </si>
  <si>
    <t>Total Alerts:</t>
  </si>
  <si>
    <t>Alert Message (Empty if None):</t>
  </si>
  <si>
    <t>Period Start Date (From Start of Day...)</t>
  </si>
  <si>
    <t>Period End Date (Until End of Day...)</t>
  </si>
  <si>
    <t>Financial Year</t>
  </si>
  <si>
    <t>Financial Year Period</t>
  </si>
  <si>
    <t>Counter</t>
  </si>
  <si>
    <t>Period Key</t>
  </si>
  <si>
    <t>Section 1.</t>
  </si>
  <si>
    <t>a.</t>
  </si>
  <si>
    <t>b.</t>
  </si>
  <si>
    <t>Section 2.</t>
  </si>
  <si>
    <t>Section 3.</t>
  </si>
  <si>
    <t>Sub-Section 3.1.</t>
  </si>
  <si>
    <t>3.1.</t>
  </si>
  <si>
    <t>Sub-Section 3.2.</t>
  </si>
  <si>
    <t>3.2.</t>
  </si>
  <si>
    <t>x</t>
  </si>
  <si>
    <t>h</t>
  </si>
  <si>
    <t>O</t>
  </si>
  <si>
    <t>Best Practice Modelling</t>
  </si>
  <si>
    <t>Primary Developer:  BPM</t>
  </si>
  <si>
    <t>Revenue - Historical Assumptions</t>
  </si>
  <si>
    <t>Revenue</t>
  </si>
  <si>
    <t>Category</t>
  </si>
  <si>
    <t>Revenue Category 1 Name</t>
  </si>
  <si>
    <t>Revenue Category 2 Name</t>
  </si>
  <si>
    <t>Revenue Category 3 Name</t>
  </si>
  <si>
    <t>Revenue Category 4 Name</t>
  </si>
  <si>
    <t>Revenue Category 5 Name</t>
  </si>
  <si>
    <t>Revenue Category 6 Name</t>
  </si>
  <si>
    <t>Revenue - Forecast Assumptions</t>
  </si>
  <si>
    <t>Revenue - All Periods</t>
  </si>
  <si>
    <t>Revenue - Historical Outputs</t>
  </si>
  <si>
    <t>Revenue - Forecast Outputs</t>
  </si>
  <si>
    <t>c.</t>
  </si>
  <si>
    <t>Revenue - Output Dashboard</t>
  </si>
  <si>
    <t>Graph Data</t>
  </si>
  <si>
    <t>Graph 1:</t>
  </si>
  <si>
    <t>Axis-Labels</t>
  </si>
  <si>
    <t>Graph 2:</t>
  </si>
  <si>
    <t>Revenue - Historical vs. Forecast</t>
  </si>
  <si>
    <t>Historical</t>
  </si>
  <si>
    <t>Forecast</t>
  </si>
  <si>
    <t>Graph 3:</t>
  </si>
  <si>
    <t>Annual Revenue Composition</t>
  </si>
  <si>
    <t>Revenue - Lookup Tables</t>
  </si>
  <si>
    <t>Period Lookup</t>
  </si>
  <si>
    <t>Period</t>
  </si>
  <si>
    <t>LU_Revenue_Period</t>
  </si>
  <si>
    <t>Revenue Period</t>
  </si>
  <si>
    <t>d.</t>
  </si>
  <si>
    <t>Error check</t>
  </si>
  <si>
    <t>Yes</t>
  </si>
  <si>
    <t xml:space="preserve">  Page  </t>
  </si>
  <si>
    <t>Total Pages:</t>
  </si>
  <si>
    <r>
      <t xml:space="preserve">Use of this model is subject to the </t>
    </r>
    <r>
      <rPr>
        <u val="single"/>
        <sz val="8"/>
        <color indexed="60"/>
        <rFont val="Tahoma"/>
        <family val="2"/>
      </rPr>
      <t>training model terms and conditions</t>
    </r>
    <r>
      <rPr>
        <sz val="8"/>
        <color indexed="60"/>
        <rFont val="Tahoma"/>
        <family val="2"/>
      </rPr>
      <t xml:space="preserve"> on the Best Practice Modelling website.</t>
    </r>
  </si>
  <si>
    <t>Provides an example of the use of data and projections time series sheets to analyse revenue categories on a historical and forecast basis.</t>
  </si>
  <si>
    <t>Time series assumptions can be changed to 'roll forward' the analysis over time - e.g. each year.</t>
  </si>
  <si>
    <r>
      <t xml:space="preserve">For more information about this example and bpmToolbox, go to </t>
    </r>
    <r>
      <rPr>
        <u val="single"/>
        <sz val="8"/>
        <color indexed="60"/>
        <rFont val="Tahoma"/>
        <family val="2"/>
      </rPr>
      <t>www.bestpracticemodelling.com</t>
    </r>
    <r>
      <rPr>
        <sz val="8"/>
        <color indexed="60"/>
        <rFont val="Tahoma"/>
        <family val="2"/>
      </rPr>
      <t>.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</si>
</sst>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##0_);\(###0\);_(&quot;-&quot;_)"/>
    <numFmt numFmtId="165" formatCode="_)d\-mmm\-yy_);_)d\-mmm\-yy_);_)&quot;-&quot;_)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(#,##0_);\(#,##0\);_(#,##0_)"/>
    <numFmt numFmtId="171" formatCode="_(#,##0_);\(#,##0\);_(&quot;-&quot;_)"/>
    <numFmt numFmtId="172" formatCode="#,##0."/>
    <numFmt numFmtId="173" formatCode="_(#,##0_);\(#,##0\);_-&quot;-&quot;_-"/>
  </numFmts>
  <fonts count="43">
    <font>
      <sz val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3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u val="single"/>
      <sz val="8"/>
      <color indexed="56"/>
      <name val="Tahoma"/>
      <family val="2"/>
    </font>
    <font>
      <b/>
      <sz val="10"/>
      <color indexed="56"/>
      <name val="Wingdings"/>
      <family val="0"/>
    </font>
    <font>
      <b/>
      <u val="single"/>
      <sz val="10"/>
      <color indexed="56"/>
      <name val="Tahoma"/>
      <family val="2"/>
    </font>
    <font>
      <b/>
      <u val="single"/>
      <sz val="9"/>
      <color indexed="56"/>
      <name val="Tahoma"/>
      <family val="2"/>
    </font>
    <font>
      <sz val="8"/>
      <color indexed="56"/>
      <name val="Tahoma"/>
      <family val="2"/>
    </font>
    <font>
      <b/>
      <sz val="14"/>
      <color indexed="60"/>
      <name val="Tahoma"/>
      <family val="2"/>
    </font>
    <font>
      <b/>
      <sz val="8"/>
      <color indexed="60"/>
      <name val="Tahoma"/>
      <family val="2"/>
    </font>
    <font>
      <sz val="8"/>
      <color indexed="60"/>
      <name val="Tahoma"/>
      <family val="2"/>
    </font>
    <font>
      <b/>
      <sz val="10"/>
      <color indexed="60"/>
      <name val="Tahoma"/>
      <family val="2"/>
    </font>
    <font>
      <b/>
      <sz val="13"/>
      <color indexed="60"/>
      <name val="Tahoma"/>
      <family val="2"/>
    </font>
    <font>
      <b/>
      <sz val="9"/>
      <color indexed="60"/>
      <name val="Tahoma"/>
      <family val="2"/>
    </font>
    <font>
      <sz val="8"/>
      <color indexed="18"/>
      <name val="Tahoma"/>
      <family val="2"/>
    </font>
    <font>
      <sz val="8"/>
      <color indexed="59"/>
      <name val="Tahoma"/>
      <family val="2"/>
    </font>
    <font>
      <sz val="8"/>
      <color indexed="9"/>
      <name val="Tahoma"/>
      <family val="2"/>
    </font>
    <font>
      <b/>
      <sz val="8"/>
      <color indexed="59"/>
      <name val="Tahoma"/>
      <family val="2"/>
    </font>
    <font>
      <b/>
      <sz val="12"/>
      <color indexed="59"/>
      <name val="Tahoma"/>
      <family val="2"/>
    </font>
    <font>
      <u val="single"/>
      <sz val="8"/>
      <color indexed="60"/>
      <name val="Tahoma"/>
      <family val="2"/>
    </font>
    <font>
      <u val="single"/>
      <sz val="8"/>
      <color indexed="12"/>
      <name val="Tahoma"/>
      <family val="2"/>
    </font>
    <font>
      <sz val="9"/>
      <name val="Tahoma"/>
      <family val="2"/>
    </font>
    <font>
      <b/>
      <sz val="10"/>
      <color indexed="56"/>
      <name val="Tahoma"/>
      <family val="2"/>
    </font>
    <font>
      <b/>
      <sz val="9"/>
      <color indexed="56"/>
      <name val="Tahoma"/>
      <family val="2"/>
    </font>
    <font>
      <b/>
      <sz val="18"/>
      <color indexed="60"/>
      <name val="Tahoma"/>
      <family val="2"/>
    </font>
    <font>
      <b/>
      <sz val="15"/>
      <color indexed="60"/>
      <name val="Tahoma"/>
      <family val="2"/>
    </font>
    <font>
      <b/>
      <sz val="11"/>
      <color indexed="60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19"/>
      <name val="Tahoma"/>
      <family val="2"/>
    </font>
    <font>
      <sz val="8"/>
      <color indexed="54"/>
      <name val="Tahoma"/>
      <family val="2"/>
    </font>
    <font>
      <b/>
      <sz val="8"/>
      <color indexed="8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9.6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dashed"/>
      <right/>
      <top style="thin"/>
      <bottom style="dashed"/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/>
      <right/>
      <top style="thin"/>
      <bottom/>
    </border>
    <border>
      <left/>
      <right style="thin"/>
      <top/>
      <bottom/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/>
    </border>
  </borders>
  <cellStyleXfs count="118">
    <xf numFmtId="0" fontId="0" fillId="0" borderId="0" applyFill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169" fontId="0" fillId="0" borderId="1">
      <alignment vertical="center"/>
      <protection locked="0"/>
    </xf>
    <xf numFmtId="165" fontId="0" fillId="0" borderId="1">
      <alignment vertical="center"/>
      <protection locked="0"/>
    </xf>
    <xf numFmtId="0" fontId="0" fillId="0" borderId="1">
      <alignment vertical="center"/>
      <protection locked="0"/>
    </xf>
    <xf numFmtId="168" fontId="0" fillId="0" borderId="1">
      <alignment vertical="center"/>
      <protection locked="0"/>
    </xf>
    <xf numFmtId="166" fontId="0" fillId="0" borderId="1">
      <alignment vertical="center"/>
      <protection locked="0"/>
    </xf>
    <xf numFmtId="167" fontId="0" fillId="0" borderId="1">
      <alignment vertical="center"/>
      <protection locked="0"/>
    </xf>
    <xf numFmtId="164" fontId="0" fillId="0" borderId="1">
      <alignment vertical="center"/>
      <protection locked="0"/>
    </xf>
    <xf numFmtId="0" fontId="33" fillId="16" borderId="0" applyNumberFormat="0" applyBorder="0" applyAlignment="0" applyProtection="0"/>
    <xf numFmtId="0" fontId="37" fillId="2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0" fontId="39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ill="0" applyBorder="0">
      <alignment vertical="center"/>
      <protection/>
    </xf>
    <xf numFmtId="165" fontId="0" fillId="0" borderId="0" applyFill="0" applyBorder="0">
      <alignment vertical="center"/>
      <protection/>
    </xf>
    <xf numFmtId="0" fontId="4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0" fillId="0" borderId="4" applyNumberFormat="0" applyFill="0" applyAlignment="0" applyProtection="0"/>
    <xf numFmtId="0" fontId="6" fillId="0" borderId="0" applyFill="0" applyBorder="0">
      <alignment vertical="center"/>
      <protection/>
    </xf>
    <xf numFmtId="0" fontId="17" fillId="0" borderId="5" applyNumberFormat="0" applyFill="0" applyAlignment="0" applyProtection="0"/>
    <xf numFmtId="0" fontId="7" fillId="0" borderId="0" applyFill="0" applyBorder="0">
      <alignment vertical="center"/>
      <protection/>
    </xf>
    <xf numFmtId="0" fontId="31" fillId="0" borderId="6" applyNumberFormat="0" applyFill="0" applyAlignment="0" applyProtection="0"/>
    <xf numFmtId="0" fontId="2" fillId="0" borderId="0" applyFill="0" applyBorder="0">
      <alignment vertical="center"/>
      <protection/>
    </xf>
    <xf numFmtId="0" fontId="31" fillId="0" borderId="0" applyNumberFormat="0" applyFill="0" applyBorder="0" applyAlignment="0" applyProtection="0"/>
    <xf numFmtId="0" fontId="0" fillId="0" borderId="0" applyFill="0" applyBorder="0">
      <alignment vertical="center"/>
      <protection/>
    </xf>
    <xf numFmtId="0" fontId="25" fillId="0" borderId="0" applyNumberFormat="0" applyFill="0" applyBorder="0" applyAlignment="0" applyProtection="0"/>
    <xf numFmtId="0" fontId="9" fillId="0" borderId="0" applyFill="0" applyBorder="0">
      <alignment horizontal="center" vertical="center"/>
      <protection/>
    </xf>
    <xf numFmtId="0" fontId="9" fillId="0" borderId="0" applyFill="0" applyBorder="0">
      <alignment horizontal="center" vertical="center"/>
      <protection/>
    </xf>
    <xf numFmtId="0" fontId="8" fillId="0" borderId="0" applyFill="0" applyBorder="0">
      <alignment vertical="center"/>
      <protection/>
    </xf>
    <xf numFmtId="0" fontId="10" fillId="0" borderId="0" applyFill="0" applyBorder="0">
      <alignment vertical="center"/>
      <protection/>
    </xf>
    <xf numFmtId="0" fontId="11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35" fillId="3" borderId="2" applyNumberFormat="0" applyAlignment="0" applyProtection="0"/>
    <xf numFmtId="0" fontId="38" fillId="0" borderId="7" applyNumberFormat="0" applyFill="0" applyAlignment="0" applyProtection="0"/>
    <xf numFmtId="0" fontId="2" fillId="0" borderId="8" applyFill="0">
      <alignment horizontal="center" vertical="center"/>
      <protection/>
    </xf>
    <xf numFmtId="0" fontId="0" fillId="0" borderId="8" applyFill="0">
      <alignment horizontal="center" vertical="center"/>
      <protection/>
    </xf>
    <xf numFmtId="170" fontId="0" fillId="0" borderId="8" applyFill="0">
      <alignment horizontal="center" vertical="center"/>
      <protection/>
    </xf>
    <xf numFmtId="0" fontId="5" fillId="0" borderId="0" applyFill="0" applyBorder="0">
      <alignment vertical="center"/>
      <protection/>
    </xf>
    <xf numFmtId="168" fontId="0" fillId="0" borderId="0" applyFill="0" applyBorder="0">
      <alignment vertical="center"/>
      <protection/>
    </xf>
    <xf numFmtId="0" fontId="34" fillId="8" borderId="0" applyNumberFormat="0" applyBorder="0" applyAlignment="0" applyProtection="0"/>
    <xf numFmtId="0" fontId="0" fillId="4" borderId="1" applyNumberFormat="0" applyFont="0" applyAlignment="0" applyProtection="0"/>
    <xf numFmtId="166" fontId="0" fillId="0" borderId="0" applyFill="0" applyBorder="0">
      <alignment vertical="center"/>
      <protection/>
    </xf>
    <xf numFmtId="0" fontId="36" fillId="2" borderId="9" applyNumberFormat="0" applyAlignment="0" applyProtection="0"/>
    <xf numFmtId="9" fontId="0" fillId="0" borderId="0" applyFont="0" applyFill="0" applyBorder="0" applyAlignment="0" applyProtection="0"/>
    <xf numFmtId="167" fontId="0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169" fontId="0" fillId="0" borderId="0" applyFill="0" applyBorder="0">
      <alignment vertical="center"/>
      <protection/>
    </xf>
    <xf numFmtId="165" fontId="0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7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9" fillId="0" borderId="0" applyFill="0" applyBorder="0">
      <alignment horizontal="center" vertical="center"/>
      <protection/>
    </xf>
    <xf numFmtId="0" fontId="9" fillId="0" borderId="0" applyFill="0" applyBorder="0">
      <alignment horizontal="center" vertical="center"/>
      <protection/>
    </xf>
    <xf numFmtId="0" fontId="8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168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166" fontId="0" fillId="0" borderId="0" applyFill="0" applyBorder="0">
      <alignment vertical="center"/>
      <protection/>
    </xf>
    <xf numFmtId="167" fontId="0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4" fillId="0" borderId="0" applyFill="0" applyBorder="0">
      <alignment vertical="center"/>
      <protection/>
    </xf>
    <xf numFmtId="0" fontId="3" fillId="0" borderId="0" applyFill="0" applyBorder="0">
      <alignment vertical="center"/>
      <protection/>
    </xf>
    <xf numFmtId="0" fontId="0" fillId="0" borderId="0" applyFill="0" applyBorder="0">
      <alignment vertical="center"/>
      <protection locked="0"/>
    </xf>
    <xf numFmtId="0" fontId="10" fillId="0" borderId="0" applyFill="0" applyBorder="0">
      <alignment vertical="center"/>
      <protection/>
    </xf>
    <xf numFmtId="0" fontId="11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164" fontId="0" fillId="0" borderId="0" applyFill="0" applyBorder="0">
      <alignment vertical="center"/>
      <protection/>
    </xf>
    <xf numFmtId="0" fontId="4" fillId="0" borderId="0" applyFill="0" applyBorder="0">
      <alignment vertical="center"/>
      <protection/>
    </xf>
    <xf numFmtId="0" fontId="3" fillId="0" borderId="0" applyFill="0" applyBorder="0">
      <alignment vertical="center"/>
      <protection/>
    </xf>
    <xf numFmtId="0" fontId="0" fillId="0" borderId="0" applyFill="0" applyBorder="0">
      <alignment vertical="center"/>
      <protection locked="0"/>
    </xf>
    <xf numFmtId="0" fontId="29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ill="0" applyBorder="0">
      <alignment vertical="center"/>
      <protection/>
    </xf>
  </cellStyleXfs>
  <cellXfs count="158">
    <xf numFmtId="0" fontId="0" fillId="0" borderId="0" xfId="0" applyAlignment="1">
      <alignment vertical="center"/>
    </xf>
    <xf numFmtId="0" fontId="13" fillId="0" borderId="0" xfId="112" applyFont="1">
      <alignment vertical="center"/>
      <protection/>
    </xf>
    <xf numFmtId="0" fontId="14" fillId="0" borderId="0" xfId="63" applyFont="1" applyAlignment="1">
      <alignment horizontal="left" vertical="center"/>
      <protection/>
    </xf>
    <xf numFmtId="0" fontId="15" fillId="0" borderId="0" xfId="65" applyFont="1" applyAlignment="1">
      <alignment horizontal="left" vertical="center"/>
      <protection/>
    </xf>
    <xf numFmtId="0" fontId="5" fillId="0" borderId="0" xfId="79" applyFont="1">
      <alignment vertical="center"/>
      <protection/>
    </xf>
    <xf numFmtId="0" fontId="9" fillId="0" borderId="0" xfId="67">
      <alignment horizontal="center" vertical="center"/>
      <protection/>
    </xf>
    <xf numFmtId="0" fontId="16" fillId="0" borderId="0" xfId="59" applyFont="1" applyAlignment="1">
      <alignment horizontal="left" vertical="center"/>
      <protection/>
    </xf>
    <xf numFmtId="0" fontId="9" fillId="0" borderId="0" xfId="67" applyAlignment="1">
      <alignment horizontal="right" vertical="center"/>
      <protection/>
    </xf>
    <xf numFmtId="0" fontId="9" fillId="0" borderId="0" xfId="67" applyAlignment="1">
      <alignment horizontal="left" vertical="center"/>
      <protection/>
    </xf>
    <xf numFmtId="0" fontId="17" fillId="0" borderId="0" xfId="111" applyFont="1">
      <alignment vertical="center"/>
      <protection/>
    </xf>
    <xf numFmtId="0" fontId="0" fillId="6" borderId="0" xfId="0" applyFill="1" applyAlignment="1">
      <alignment vertical="center"/>
    </xf>
    <xf numFmtId="0" fontId="5" fillId="6" borderId="0" xfId="79" applyFont="1" applyFill="1">
      <alignment vertical="center"/>
      <protection/>
    </xf>
    <xf numFmtId="0" fontId="13" fillId="6" borderId="0" xfId="112" applyFont="1" applyFill="1">
      <alignment vertical="center"/>
      <protection/>
    </xf>
    <xf numFmtId="0" fontId="9" fillId="6" borderId="0" xfId="67" applyFill="1">
      <alignment horizontal="center" vertical="center"/>
      <protection/>
    </xf>
    <xf numFmtId="0" fontId="9" fillId="6" borderId="0" xfId="67" applyFill="1" applyAlignment="1">
      <alignment horizontal="right" vertical="center"/>
      <protection/>
    </xf>
    <xf numFmtId="0" fontId="9" fillId="6" borderId="0" xfId="67" applyFill="1" applyAlignment="1">
      <alignment horizontal="left" vertical="center"/>
      <protection/>
    </xf>
    <xf numFmtId="0" fontId="18" fillId="0" borderId="0" xfId="61" applyFont="1" applyAlignment="1">
      <alignment horizontal="left" vertical="center"/>
      <protection/>
    </xf>
    <xf numFmtId="0" fontId="14" fillId="0" borderId="8" xfId="76" applyFont="1" applyAlignment="1">
      <alignment horizontal="center" vertical="center"/>
      <protection/>
    </xf>
    <xf numFmtId="0" fontId="15" fillId="0" borderId="8" xfId="77" applyFont="1" applyAlignment="1">
      <alignment horizontal="center" vertical="center"/>
      <protection/>
    </xf>
    <xf numFmtId="171" fontId="15" fillId="0" borderId="8" xfId="78" applyNumberFormat="1" applyFont="1" applyAlignment="1">
      <alignment horizontal="center" vertical="center"/>
      <protection/>
    </xf>
    <xf numFmtId="171" fontId="0" fillId="0" borderId="8" xfId="78" applyNumberFormat="1" applyFont="1" applyAlignment="1">
      <alignment horizontal="center" vertical="center"/>
      <protection/>
    </xf>
    <xf numFmtId="0" fontId="16" fillId="6" borderId="0" xfId="59" applyFont="1" applyFill="1" applyAlignment="1">
      <alignment horizontal="left" vertical="center"/>
      <protection/>
    </xf>
    <xf numFmtId="0" fontId="18" fillId="6" borderId="0" xfId="61" applyFont="1" applyFill="1" applyAlignment="1">
      <alignment horizontal="left" vertical="center"/>
      <protection/>
    </xf>
    <xf numFmtId="0" fontId="15" fillId="6" borderId="0" xfId="65" applyFont="1" applyFill="1" applyAlignment="1">
      <alignment horizontal="left" vertical="center"/>
      <protection/>
    </xf>
    <xf numFmtId="0" fontId="14" fillId="6" borderId="0" xfId="63" applyFont="1" applyFill="1" applyAlignment="1">
      <alignment horizontal="left" vertical="center"/>
      <protection/>
    </xf>
    <xf numFmtId="0" fontId="15" fillId="6" borderId="0" xfId="65" applyFont="1" applyFill="1" applyAlignment="1" quotePrefix="1">
      <alignment horizontal="right" vertical="center"/>
      <protection/>
    </xf>
    <xf numFmtId="0" fontId="15" fillId="6" borderId="0" xfId="65" applyFont="1" applyFill="1" applyAlignment="1" quotePrefix="1">
      <alignment horizontal="left" vertical="center"/>
      <protection/>
    </xf>
    <xf numFmtId="0" fontId="19" fillId="6" borderId="0" xfId="48" applyFont="1" applyFill="1" applyAlignment="1">
      <alignment horizontal="center" vertical="center"/>
      <protection locked="0"/>
    </xf>
    <xf numFmtId="0" fontId="21" fillId="0" borderId="0" xfId="48" applyFont="1" applyAlignment="1">
      <alignment horizontal="center" vertical="center"/>
      <protection locked="0"/>
    </xf>
    <xf numFmtId="0" fontId="14" fillId="0" borderId="11" xfId="63" applyFont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14" fillId="0" borderId="11" xfId="63" applyFont="1" applyBorder="1" applyAlignment="1">
      <alignment horizontal="center" vertical="center"/>
      <protection/>
    </xf>
    <xf numFmtId="171" fontId="22" fillId="0" borderId="8" xfId="83" applyNumberFormat="1" applyFont="1" applyBorder="1" applyAlignment="1">
      <alignment horizontal="center" vertical="center"/>
      <protection/>
    </xf>
    <xf numFmtId="0" fontId="2" fillId="0" borderId="0" xfId="63" applyFont="1" applyAlignment="1">
      <alignment horizontal="left" vertical="center"/>
      <protection/>
    </xf>
    <xf numFmtId="171" fontId="2" fillId="0" borderId="12" xfId="83" applyNumberFormat="1" applyFont="1" applyBorder="1" applyAlignment="1">
      <alignment horizontal="center" vertical="center"/>
      <protection/>
    </xf>
    <xf numFmtId="171" fontId="14" fillId="0" borderId="0" xfId="63" applyNumberFormat="1" applyFont="1" applyAlignment="1">
      <alignment horizontal="left" vertical="center"/>
      <protection/>
    </xf>
    <xf numFmtId="171" fontId="22" fillId="0" borderId="13" xfId="65" applyNumberFormat="1" applyFont="1" applyBorder="1" applyAlignment="1">
      <alignment horizontal="left" vertical="center"/>
      <protection/>
    </xf>
    <xf numFmtId="0" fontId="23" fillId="0" borderId="0" xfId="79" applyFont="1">
      <alignment vertical="center"/>
      <protection/>
    </xf>
    <xf numFmtId="0" fontId="22" fillId="6" borderId="0" xfId="87" applyFont="1" applyFill="1" applyAlignment="1">
      <alignment horizontal="left" vertical="center"/>
      <protection/>
    </xf>
    <xf numFmtId="165" fontId="0" fillId="6" borderId="0" xfId="55" applyFont="1" applyFill="1" applyAlignment="1">
      <alignment horizontal="right" vertical="center"/>
      <protection/>
    </xf>
    <xf numFmtId="0" fontId="20" fillId="6" borderId="0" xfId="65" applyFont="1" applyFill="1" applyAlignment="1">
      <alignment horizontal="right" vertical="center"/>
      <protection/>
    </xf>
    <xf numFmtId="171" fontId="0" fillId="6" borderId="0" xfId="83" applyNumberFormat="1" applyFont="1" applyFill="1" applyAlignment="1">
      <alignment horizontal="right" vertical="center"/>
      <protection/>
    </xf>
    <xf numFmtId="0" fontId="22" fillId="6" borderId="11" xfId="87" applyFont="1" applyFill="1" applyBorder="1" applyAlignment="1">
      <alignment horizontal="left" vertical="center"/>
      <protection/>
    </xf>
    <xf numFmtId="0" fontId="0" fillId="6" borderId="11" xfId="0" applyFill="1" applyBorder="1" applyAlignment="1">
      <alignment vertical="center"/>
    </xf>
    <xf numFmtId="0" fontId="22" fillId="6" borderId="11" xfId="87" applyFont="1" applyFill="1" applyBorder="1" applyAlignment="1">
      <alignment horizontal="right" vertical="center"/>
      <protection/>
    </xf>
    <xf numFmtId="0" fontId="15" fillId="6" borderId="11" xfId="65" applyFont="1" applyFill="1" applyBorder="1" applyAlignment="1">
      <alignment horizontal="left" vertical="center"/>
      <protection/>
    </xf>
    <xf numFmtId="0" fontId="22" fillId="0" borderId="0" xfId="87" applyFont="1" applyAlignment="1">
      <alignment horizontal="left" vertical="center"/>
      <protection/>
    </xf>
    <xf numFmtId="0" fontId="22" fillId="0" borderId="0" xfId="87" applyFont="1" applyAlignment="1">
      <alignment horizontal="right" vertical="center"/>
      <protection/>
    </xf>
    <xf numFmtId="165" fontId="0" fillId="0" borderId="0" xfId="55" applyFont="1" applyAlignment="1">
      <alignment horizontal="right" vertical="center"/>
      <protection/>
    </xf>
    <xf numFmtId="164" fontId="20" fillId="0" borderId="0" xfId="117" applyFont="1" applyAlignment="1">
      <alignment horizontal="right" vertical="center"/>
      <protection/>
    </xf>
    <xf numFmtId="0" fontId="20" fillId="0" borderId="0" xfId="65" applyFont="1" applyAlignment="1">
      <alignment horizontal="right" vertical="center"/>
      <protection/>
    </xf>
    <xf numFmtId="171" fontId="0" fillId="0" borderId="0" xfId="83" applyNumberFormat="1" applyFont="1" applyAlignment="1">
      <alignment horizontal="right" vertical="center"/>
      <protection/>
    </xf>
    <xf numFmtId="0" fontId="22" fillId="0" borderId="11" xfId="87" applyFont="1" applyBorder="1" applyAlignment="1">
      <alignment horizontal="left" vertical="center"/>
      <protection/>
    </xf>
    <xf numFmtId="0" fontId="22" fillId="0" borderId="11" xfId="87" applyFont="1" applyBorder="1" applyAlignment="1">
      <alignment horizontal="right" vertical="center"/>
      <protection/>
    </xf>
    <xf numFmtId="0" fontId="15" fillId="0" borderId="11" xfId="65" applyFont="1" applyBorder="1" applyAlignment="1">
      <alignment horizontal="left" vertical="center"/>
      <protection/>
    </xf>
    <xf numFmtId="166" fontId="20" fillId="0" borderId="11" xfId="83" applyFont="1" applyBorder="1" applyAlignment="1">
      <alignment horizontal="right" vertical="center"/>
      <protection/>
    </xf>
    <xf numFmtId="0" fontId="9" fillId="0" borderId="0" xfId="67" applyBorder="1">
      <alignment horizontal="center" vertical="center"/>
      <protection/>
    </xf>
    <xf numFmtId="0" fontId="0" fillId="0" borderId="0" xfId="0" applyBorder="1" applyAlignment="1">
      <alignment vertical="center"/>
    </xf>
    <xf numFmtId="0" fontId="12" fillId="0" borderId="0" xfId="73" applyFont="1" applyAlignment="1">
      <alignment horizontal="center" vertical="center"/>
      <protection/>
    </xf>
    <xf numFmtId="0" fontId="9" fillId="6" borderId="0" xfId="68" applyFill="1" applyAlignment="1">
      <alignment horizontal="left" vertical="center"/>
      <protection/>
    </xf>
    <xf numFmtId="0" fontId="9" fillId="0" borderId="0" xfId="68" applyAlignment="1">
      <alignment horizontal="left" vertical="center"/>
      <protection/>
    </xf>
    <xf numFmtId="0" fontId="0" fillId="0" borderId="0" xfId="65" applyFont="1">
      <alignment vertical="center"/>
      <protection/>
    </xf>
    <xf numFmtId="165" fontId="22" fillId="6" borderId="0" xfId="87" applyNumberFormat="1" applyFont="1" applyFill="1" applyAlignment="1">
      <alignment horizontal="right" vertical="center"/>
      <protection/>
    </xf>
    <xf numFmtId="164" fontId="20" fillId="6" borderId="0" xfId="117" applyNumberFormat="1" applyFont="1" applyFill="1" applyAlignment="1">
      <alignment horizontal="right" vertical="center"/>
      <protection/>
    </xf>
    <xf numFmtId="0" fontId="20" fillId="6" borderId="11" xfId="65" applyFont="1" applyFill="1" applyBorder="1" applyAlignment="1">
      <alignment horizontal="right" vertical="center"/>
      <protection/>
    </xf>
    <xf numFmtId="0" fontId="6" fillId="6" borderId="0" xfId="59" applyFont="1" applyFill="1">
      <alignment vertical="center"/>
      <protection/>
    </xf>
    <xf numFmtId="0" fontId="16" fillId="6" borderId="0" xfId="59" applyFont="1" applyFill="1">
      <alignment vertical="center"/>
      <protection/>
    </xf>
    <xf numFmtId="0" fontId="2" fillId="6" borderId="0" xfId="63" applyFont="1" applyFill="1">
      <alignment vertical="center"/>
      <protection/>
    </xf>
    <xf numFmtId="0" fontId="14" fillId="6" borderId="0" xfId="63" applyFont="1" applyFill="1">
      <alignment vertical="center"/>
      <protection/>
    </xf>
    <xf numFmtId="166" fontId="15" fillId="0" borderId="1" xfId="43" applyFont="1">
      <alignment vertical="center"/>
      <protection locked="0"/>
    </xf>
    <xf numFmtId="0" fontId="22" fillId="6" borderId="0" xfId="63" applyFont="1" applyFill="1">
      <alignment vertical="center"/>
      <protection/>
    </xf>
    <xf numFmtId="166" fontId="15" fillId="0" borderId="14" xfId="43" applyFont="1" applyBorder="1">
      <alignment vertical="center"/>
      <protection locked="0"/>
    </xf>
    <xf numFmtId="166" fontId="2" fillId="6" borderId="15" xfId="83" applyFont="1" applyFill="1" applyBorder="1">
      <alignment vertical="center"/>
      <protection/>
    </xf>
    <xf numFmtId="0" fontId="0" fillId="6" borderId="0" xfId="65" applyFont="1" applyFill="1">
      <alignment vertical="center"/>
      <protection/>
    </xf>
    <xf numFmtId="165" fontId="22" fillId="0" borderId="0" xfId="87" applyNumberFormat="1" applyFont="1" applyAlignment="1">
      <alignment horizontal="right" vertical="center"/>
      <protection/>
    </xf>
    <xf numFmtId="164" fontId="20" fillId="0" borderId="0" xfId="117" applyNumberFormat="1" applyFont="1" applyAlignment="1">
      <alignment horizontal="right" vertical="center"/>
      <protection/>
    </xf>
    <xf numFmtId="0" fontId="20" fillId="0" borderId="11" xfId="65" applyFont="1" applyBorder="1" applyAlignment="1">
      <alignment horizontal="right" vertical="center"/>
      <protection/>
    </xf>
    <xf numFmtId="0" fontId="6" fillId="0" borderId="0" xfId="59" applyFont="1">
      <alignment vertical="center"/>
      <protection/>
    </xf>
    <xf numFmtId="0" fontId="2" fillId="0" borderId="0" xfId="63" applyFont="1">
      <alignment vertical="center"/>
      <protection/>
    </xf>
    <xf numFmtId="166" fontId="0" fillId="0" borderId="0" xfId="83" applyFont="1">
      <alignment vertical="center"/>
      <protection/>
    </xf>
    <xf numFmtId="166" fontId="2" fillId="0" borderId="15" xfId="83" applyFont="1" applyBorder="1">
      <alignment vertical="center"/>
      <protection/>
    </xf>
    <xf numFmtId="0" fontId="9" fillId="6" borderId="0" xfId="68" applyFill="1" applyAlignment="1">
      <alignment horizontal="center" vertical="center"/>
      <protection/>
    </xf>
    <xf numFmtId="0" fontId="9" fillId="0" borderId="0" xfId="68" applyAlignment="1">
      <alignment horizontal="center" vertical="center"/>
      <protection/>
    </xf>
    <xf numFmtId="0" fontId="0" fillId="0" borderId="0" xfId="99">
      <alignment vertical="center"/>
      <protection/>
    </xf>
    <xf numFmtId="0" fontId="5" fillId="0" borderId="0" xfId="97">
      <alignment vertical="center"/>
      <protection/>
    </xf>
    <xf numFmtId="0" fontId="3" fillId="0" borderId="0" xfId="104">
      <alignment vertical="center"/>
      <protection/>
    </xf>
    <xf numFmtId="0" fontId="9" fillId="0" borderId="0" xfId="94">
      <alignment horizontal="center" vertical="center"/>
      <protection/>
    </xf>
    <xf numFmtId="0" fontId="9" fillId="0" borderId="0" xfId="94" applyAlignment="1">
      <alignment horizontal="right" vertical="center"/>
      <protection/>
    </xf>
    <xf numFmtId="0" fontId="9" fillId="0" borderId="0" xfId="94" applyAlignment="1">
      <alignment horizontal="left" vertical="center"/>
      <protection/>
    </xf>
    <xf numFmtId="0" fontId="2" fillId="0" borderId="0" xfId="102" applyAlignment="1">
      <alignment horizontal="left" vertical="center"/>
      <protection/>
    </xf>
    <xf numFmtId="0" fontId="0" fillId="0" borderId="0" xfId="93">
      <alignment vertical="center"/>
      <protection/>
    </xf>
    <xf numFmtId="0" fontId="0" fillId="0" borderId="0" xfId="93" applyAlignment="1">
      <alignment horizontal="left" vertical="center"/>
      <protection/>
    </xf>
    <xf numFmtId="0" fontId="2" fillId="0" borderId="0" xfId="102" applyAlignment="1">
      <alignment horizontal="right" vertical="center"/>
      <protection/>
    </xf>
    <xf numFmtId="165" fontId="0" fillId="0" borderId="0" xfId="89" applyAlignment="1">
      <alignment horizontal="right" vertical="center"/>
      <protection/>
    </xf>
    <xf numFmtId="164" fontId="0" fillId="0" borderId="0" xfId="110" applyAlignment="1">
      <alignment horizontal="right" vertical="center"/>
      <protection/>
    </xf>
    <xf numFmtId="0" fontId="0" fillId="0" borderId="0" xfId="93" applyAlignment="1">
      <alignment horizontal="right" vertical="center"/>
      <protection/>
    </xf>
    <xf numFmtId="166" fontId="0" fillId="0" borderId="0" xfId="100">
      <alignment vertical="center"/>
      <protection/>
    </xf>
    <xf numFmtId="171" fontId="0" fillId="0" borderId="0" xfId="100" applyNumberFormat="1" applyAlignment="1">
      <alignment horizontal="right" vertical="center"/>
      <protection/>
    </xf>
    <xf numFmtId="0" fontId="2" fillId="0" borderId="11" xfId="102" applyBorder="1" applyAlignment="1">
      <alignment horizontal="left" vertical="center"/>
      <protection/>
    </xf>
    <xf numFmtId="0" fontId="0" fillId="0" borderId="11" xfId="99" applyBorder="1">
      <alignment vertical="center"/>
      <protection/>
    </xf>
    <xf numFmtId="0" fontId="2" fillId="0" borderId="11" xfId="102" applyBorder="1" applyAlignment="1">
      <alignment horizontal="right" vertical="center"/>
      <protection/>
    </xf>
    <xf numFmtId="0" fontId="0" fillId="0" borderId="11" xfId="93" applyBorder="1" applyAlignment="1">
      <alignment horizontal="left" vertical="center"/>
      <protection/>
    </xf>
    <xf numFmtId="166" fontId="0" fillId="0" borderId="11" xfId="100" applyBorder="1" applyAlignment="1">
      <alignment horizontal="right" vertical="center"/>
      <protection/>
    </xf>
    <xf numFmtId="0" fontId="6" fillId="0" borderId="0" xfId="90">
      <alignment vertical="center"/>
      <protection/>
    </xf>
    <xf numFmtId="0" fontId="2" fillId="0" borderId="0" xfId="92">
      <alignment vertical="center"/>
      <protection/>
    </xf>
    <xf numFmtId="166" fontId="2" fillId="0" borderId="15" xfId="100" applyFont="1" applyBorder="1">
      <alignment vertical="center"/>
      <protection/>
    </xf>
    <xf numFmtId="0" fontId="2" fillId="0" borderId="0" xfId="92" applyAlignment="1">
      <alignment horizontal="right" vertical="center"/>
      <protection/>
    </xf>
    <xf numFmtId="0" fontId="2" fillId="0" borderId="0" xfId="63" applyFont="1" applyAlignment="1">
      <alignment horizontal="right" vertical="center"/>
      <protection/>
    </xf>
    <xf numFmtId="0" fontId="2" fillId="0" borderId="0" xfId="63" applyFont="1" applyAlignment="1">
      <alignment horizontal="right" vertical="center" wrapText="1"/>
      <protection/>
    </xf>
    <xf numFmtId="0" fontId="2" fillId="6" borderId="0" xfId="63" applyFont="1" applyFill="1" applyAlignment="1">
      <alignment horizontal="right" vertical="center"/>
      <protection/>
    </xf>
    <xf numFmtId="0" fontId="7" fillId="0" borderId="0" xfId="61" applyFont="1" applyAlignment="1">
      <alignment horizontal="left" vertical="center"/>
      <protection/>
    </xf>
    <xf numFmtId="0" fontId="0" fillId="0" borderId="8" xfId="77" applyFont="1" applyAlignment="1">
      <alignment horizontal="center" vertical="center"/>
      <protection/>
    </xf>
    <xf numFmtId="0" fontId="0" fillId="0" borderId="0" xfId="99" applyFill="1">
      <alignment vertical="center"/>
      <protection/>
    </xf>
    <xf numFmtId="171" fontId="0" fillId="0" borderId="0" xfId="100" applyNumberFormat="1">
      <alignment vertical="center"/>
      <protection/>
    </xf>
    <xf numFmtId="0" fontId="8" fillId="0" borderId="0" xfId="69">
      <alignment vertical="center"/>
      <protection/>
    </xf>
    <xf numFmtId="171" fontId="0" fillId="0" borderId="0" xfId="83" applyNumberFormat="1" applyFont="1">
      <alignment vertical="center"/>
      <protection/>
    </xf>
    <xf numFmtId="173" fontId="2" fillId="0" borderId="16" xfId="83" applyNumberFormat="1" applyFont="1" applyBorder="1" applyAlignment="1">
      <alignment horizontal="right" vertical="center"/>
      <protection/>
    </xf>
    <xf numFmtId="0" fontId="14" fillId="0" borderId="0" xfId="63" applyFont="1" applyBorder="1" applyAlignment="1">
      <alignment horizontal="left" vertical="center"/>
      <protection/>
    </xf>
    <xf numFmtId="0" fontId="14" fillId="0" borderId="0" xfId="63" applyFont="1" applyBorder="1" applyAlignment="1">
      <alignment horizontal="center" vertical="center"/>
      <protection/>
    </xf>
    <xf numFmtId="0" fontId="25" fillId="0" borderId="0" xfId="66" applyAlignment="1" applyProtection="1">
      <alignment vertical="center"/>
      <protection/>
    </xf>
    <xf numFmtId="171" fontId="0" fillId="0" borderId="0" xfId="83" applyNumberFormat="1" applyFont="1" applyAlignment="1">
      <alignment horizontal="center" vertical="center"/>
      <protection/>
    </xf>
    <xf numFmtId="0" fontId="15" fillId="0" borderId="0" xfId="48" applyFont="1" applyAlignment="1">
      <alignment horizontal="center" vertical="center"/>
      <protection locked="0"/>
    </xf>
    <xf numFmtId="171" fontId="20" fillId="0" borderId="0" xfId="83" applyNumberFormat="1" applyFont="1" applyAlignment="1">
      <alignment horizontal="center" vertical="center"/>
      <protection/>
    </xf>
    <xf numFmtId="0" fontId="15" fillId="0" borderId="0" xfId="65" applyFont="1">
      <alignment vertical="center"/>
      <protection/>
    </xf>
    <xf numFmtId="0" fontId="16" fillId="0" borderId="11" xfId="59" applyFont="1" applyBorder="1" applyAlignment="1">
      <alignment horizontal="left" vertical="center"/>
      <protection/>
    </xf>
    <xf numFmtId="0" fontId="16" fillId="0" borderId="11" xfId="59" applyFont="1" applyBorder="1" applyAlignment="1">
      <alignment horizontal="center" vertical="center"/>
      <protection/>
    </xf>
    <xf numFmtId="171" fontId="27" fillId="0" borderId="0" xfId="70" applyNumberFormat="1" applyFont="1" applyAlignment="1">
      <alignment horizontal="center" vertical="center"/>
      <protection/>
    </xf>
    <xf numFmtId="171" fontId="12" fillId="0" borderId="0" xfId="72" applyNumberFormat="1" applyFont="1" applyAlignment="1">
      <alignment horizontal="center" vertical="center"/>
      <protection/>
    </xf>
    <xf numFmtId="171" fontId="28" fillId="0" borderId="0" xfId="71" applyNumberFormat="1" applyFont="1" applyAlignment="1">
      <alignment horizontal="center" vertical="center"/>
      <protection/>
    </xf>
    <xf numFmtId="171" fontId="14" fillId="0" borderId="15" xfId="65" applyNumberFormat="1" applyFont="1" applyBorder="1" applyAlignment="1">
      <alignment horizontal="center" vertical="center"/>
      <protection/>
    </xf>
    <xf numFmtId="0" fontId="21" fillId="0" borderId="8" xfId="48" applyFont="1" applyBorder="1" applyAlignment="1">
      <alignment horizontal="center" vertical="center"/>
      <protection locked="0"/>
    </xf>
    <xf numFmtId="0" fontId="15" fillId="0" borderId="0" xfId="65" applyFont="1" applyAlignment="1">
      <alignment horizontal="center" vertical="center"/>
      <protection/>
    </xf>
    <xf numFmtId="0" fontId="15" fillId="6" borderId="0" xfId="48" applyFont="1" applyFill="1" applyAlignment="1">
      <alignment horizontal="center" vertical="center"/>
      <protection locked="0"/>
    </xf>
    <xf numFmtId="0" fontId="8" fillId="0" borderId="0" xfId="69">
      <alignment vertical="center"/>
      <protection/>
    </xf>
    <xf numFmtId="0" fontId="12" fillId="0" borderId="0" xfId="73">
      <alignment vertical="center"/>
      <protection/>
    </xf>
    <xf numFmtId="0" fontId="12" fillId="0" borderId="0" xfId="72" applyAlignment="1" quotePrefix="1">
      <alignment horizontal="right" vertical="center"/>
      <protection/>
    </xf>
    <xf numFmtId="0" fontId="12" fillId="0" borderId="0" xfId="72">
      <alignment vertical="center"/>
      <protection/>
    </xf>
    <xf numFmtId="172" fontId="10" fillId="0" borderId="0" xfId="70" applyNumberFormat="1" applyAlignment="1">
      <alignment horizontal="right" vertical="center"/>
      <protection/>
    </xf>
    <xf numFmtId="0" fontId="10" fillId="0" borderId="0" xfId="70">
      <alignment vertical="center"/>
      <protection/>
    </xf>
    <xf numFmtId="0" fontId="11" fillId="0" borderId="0" xfId="71" applyAlignment="1">
      <alignment horizontal="right" vertical="center"/>
      <protection/>
    </xf>
    <xf numFmtId="0" fontId="11" fillId="0" borderId="0" xfId="71">
      <alignment vertical="center"/>
      <protection/>
    </xf>
    <xf numFmtId="171" fontId="0" fillId="6" borderId="0" xfId="83" applyNumberFormat="1" applyFont="1" applyFill="1" applyAlignment="1">
      <alignment horizontal="center" vertical="center"/>
      <protection/>
    </xf>
    <xf numFmtId="165" fontId="0" fillId="6" borderId="0" xfId="55" applyFont="1" applyFill="1" applyAlignment="1">
      <alignment horizontal="center" vertical="center"/>
      <protection/>
    </xf>
    <xf numFmtId="171" fontId="20" fillId="6" borderId="0" xfId="83" applyNumberFormat="1" applyFont="1" applyFill="1" applyAlignment="1">
      <alignment horizontal="center" vertical="center"/>
      <protection/>
    </xf>
    <xf numFmtId="0" fontId="0" fillId="6" borderId="0" xfId="65" applyFont="1" applyFill="1" applyAlignment="1">
      <alignment horizontal="center" vertical="center"/>
      <protection/>
    </xf>
    <xf numFmtId="0" fontId="19" fillId="6" borderId="0" xfId="48" applyFont="1" applyFill="1" applyAlignment="1">
      <alignment horizontal="center" vertical="center"/>
      <protection locked="0"/>
    </xf>
    <xf numFmtId="171" fontId="15" fillId="0" borderId="17" xfId="43" applyNumberFormat="1" applyFont="1" applyBorder="1" applyAlignment="1">
      <alignment horizontal="center" vertical="center"/>
      <protection locked="0"/>
    </xf>
    <xf numFmtId="171" fontId="15" fillId="0" borderId="18" xfId="43" applyNumberFormat="1" applyFont="1" applyBorder="1" applyAlignment="1">
      <alignment horizontal="center" vertical="center"/>
      <protection locked="0"/>
    </xf>
    <xf numFmtId="0" fontId="15" fillId="0" borderId="17" xfId="41" applyFont="1" applyBorder="1" applyAlignment="1">
      <alignment horizontal="center" vertical="center"/>
      <protection locked="0"/>
    </xf>
    <xf numFmtId="0" fontId="15" fillId="0" borderId="18" xfId="41" applyFont="1" applyBorder="1" applyAlignment="1">
      <alignment horizontal="center" vertical="center"/>
      <protection locked="0"/>
    </xf>
    <xf numFmtId="165" fontId="15" fillId="0" borderId="17" xfId="40" applyFont="1" applyBorder="1" applyAlignment="1">
      <alignment horizontal="center" vertical="center"/>
      <protection locked="0"/>
    </xf>
    <xf numFmtId="165" fontId="15" fillId="0" borderId="18" xfId="40" applyFont="1" applyBorder="1" applyAlignment="1">
      <alignment horizontal="center" vertical="center"/>
      <protection locked="0"/>
    </xf>
    <xf numFmtId="0" fontId="8" fillId="6" borderId="0" xfId="69" applyFill="1">
      <alignment vertical="center"/>
      <protection/>
    </xf>
    <xf numFmtId="0" fontId="15" fillId="6" borderId="0" xfId="65" applyFont="1" applyFill="1" applyAlignment="1">
      <alignment horizontal="center" vertical="center"/>
      <protection/>
    </xf>
    <xf numFmtId="171" fontId="15" fillId="6" borderId="19" xfId="83" applyNumberFormat="1" applyFont="1" applyFill="1" applyBorder="1" applyAlignment="1">
      <alignment horizontal="center" vertical="center"/>
      <protection/>
    </xf>
    <xf numFmtId="0" fontId="20" fillId="6" borderId="0" xfId="65" applyFont="1" applyFill="1" applyAlignment="1">
      <alignment horizontal="center" vertical="center"/>
      <protection/>
    </xf>
    <xf numFmtId="0" fontId="15" fillId="0" borderId="1" xfId="41" applyFont="1">
      <alignment vertical="center"/>
      <protection locked="0"/>
    </xf>
    <xf numFmtId="0" fontId="8" fillId="0" borderId="0" xfId="96">
      <alignment vertical="center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 Currency." xfId="39"/>
    <cellStyle name="Assumption Date." xfId="40"/>
    <cellStyle name="Assumption Heading." xfId="41"/>
    <cellStyle name="Assumption Multiple." xfId="42"/>
    <cellStyle name="Assumption Number." xfId="43"/>
    <cellStyle name="Assumption Percentage." xfId="44"/>
    <cellStyle name="Assumption Year." xfId="45"/>
    <cellStyle name="Bad" xfId="46"/>
    <cellStyle name="Calculation" xfId="47"/>
    <cellStyle name="Cell Link." xfId="48"/>
    <cellStyle name="Check Cell" xfId="49"/>
    <cellStyle name="Comma" xfId="50"/>
    <cellStyle name="Comma [0]" xfId="51"/>
    <cellStyle name="Currency" xfId="52"/>
    <cellStyle name="Currency [0]" xfId="53"/>
    <cellStyle name="Currency." xfId="54"/>
    <cellStyle name="Date." xfId="55"/>
    <cellStyle name="Explanatory Text" xfId="56"/>
    <cellStyle name="Good" xfId="57"/>
    <cellStyle name="Heading 1" xfId="58"/>
    <cellStyle name="Heading 1." xfId="59"/>
    <cellStyle name="Heading 2" xfId="60"/>
    <cellStyle name="Heading 2." xfId="61"/>
    <cellStyle name="Heading 3" xfId="62"/>
    <cellStyle name="Heading 3." xfId="63"/>
    <cellStyle name="Heading 4" xfId="64"/>
    <cellStyle name="Heading 4." xfId="65"/>
    <cellStyle name="Hyperlink" xfId="66"/>
    <cellStyle name="Hyperlink Arrow." xfId="67"/>
    <cellStyle name="Hyperlink Check." xfId="68"/>
    <cellStyle name="Hyperlink Text." xfId="69"/>
    <cellStyle name="Hyperlink TOC 1." xfId="70"/>
    <cellStyle name="Hyperlink TOC 2." xfId="71"/>
    <cellStyle name="Hyperlink TOC 3." xfId="72"/>
    <cellStyle name="Hyperlink TOC 4." xfId="73"/>
    <cellStyle name="Input" xfId="74"/>
    <cellStyle name="Linked Cell" xfId="75"/>
    <cellStyle name="Lookup Table Heading." xfId="76"/>
    <cellStyle name="Lookup Table Label." xfId="77"/>
    <cellStyle name="Lookup Table Number." xfId="78"/>
    <cellStyle name="Model Name." xfId="79"/>
    <cellStyle name="Multiple." xfId="80"/>
    <cellStyle name="Neutral" xfId="81"/>
    <cellStyle name="Note" xfId="82"/>
    <cellStyle name="Number." xfId="83"/>
    <cellStyle name="Output" xfId="84"/>
    <cellStyle name="Percent" xfId="85"/>
    <cellStyle name="Percentage." xfId="86"/>
    <cellStyle name="Period Title." xfId="87"/>
    <cellStyle name="Presentation Currency." xfId="88"/>
    <cellStyle name="Presentation Date." xfId="89"/>
    <cellStyle name="Presentation Heading 1." xfId="90"/>
    <cellStyle name="Presentation Heading 2." xfId="91"/>
    <cellStyle name="Presentation Heading 3." xfId="92"/>
    <cellStyle name="Presentation Heading 4." xfId="93"/>
    <cellStyle name="Presentation Hyperlink Arrow." xfId="94"/>
    <cellStyle name="Presentation Hyperlink Check." xfId="95"/>
    <cellStyle name="Presentation Hyperlink Text." xfId="96"/>
    <cellStyle name="Presentation Model Name." xfId="97"/>
    <cellStyle name="Presentation Multiple." xfId="98"/>
    <cellStyle name="Presentation Normal." xfId="99"/>
    <cellStyle name="Presentation Number." xfId="100"/>
    <cellStyle name="Presentation Percentage." xfId="101"/>
    <cellStyle name="Presentation Period Title." xfId="102"/>
    <cellStyle name="Presentation Section Number." xfId="103"/>
    <cellStyle name="Presentation Sheet Title." xfId="104"/>
    <cellStyle name="Presentation Sub Total." xfId="105"/>
    <cellStyle name="Presentation TOC 1." xfId="106"/>
    <cellStyle name="Presentation TOC 2." xfId="107"/>
    <cellStyle name="Presentation TOC 3." xfId="108"/>
    <cellStyle name="Presentation TOC 4." xfId="109"/>
    <cellStyle name="Presentation Year." xfId="110"/>
    <cellStyle name="Section Number." xfId="111"/>
    <cellStyle name="Sheet Title." xfId="112"/>
    <cellStyle name="Sub Total." xfId="113"/>
    <cellStyle name="Title" xfId="114"/>
    <cellStyle name="Total" xfId="115"/>
    <cellStyle name="Warning Text" xfId="116"/>
    <cellStyle name="Year." xfId="117"/>
  </cellStyles>
  <dxfs count="46"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/>
        <i val="0"/>
        <color indexed="58"/>
      </font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u val="none"/>
        <strike val="0"/>
        <color rgb="FFFFFFFF"/>
      </font>
      <fill>
        <patternFill patternType="solid">
          <bgColor rgb="FFC0C0C0"/>
        </patternFill>
      </fill>
      <border>
        <left style="thin">
          <color rgb="FFC0C0C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Revenue_Dashboard_P_TO!$W$29</c:f>
        </c:strRef>
      </c:tx>
      <c:layout>
        <c:manualLayout>
          <c:xMode val="factor"/>
          <c:yMode val="factor"/>
          <c:x val="-0.003"/>
          <c:y val="-0.01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85"/>
          <c:y val="0.36925"/>
          <c:w val="0.94"/>
          <c:h val="0.59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Revenue_Dashboard_P_TO!$V$32</c:f>
              <c:strCache>
                <c:ptCount val="1"/>
                <c:pt idx="0">
                  <c:v>Revenue Category 1 Name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Revenue_Dashboard_P_TO!$Y$31:$AH$31</c:f>
              <c:strCache/>
            </c:strRef>
          </c:cat>
          <c:val>
            <c:numRef>
              <c:f>Revenue_Dashboard_P_TO!$Y$32:$AH$32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Revenue_Dashboard_P_TO!$V$33</c:f>
              <c:strCache>
                <c:ptCount val="1"/>
                <c:pt idx="0">
                  <c:v>Revenue Category 2 Name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Revenue_Dashboard_P_TO!$Y$31:$AH$31</c:f>
              <c:strCache/>
            </c:strRef>
          </c:cat>
          <c:val>
            <c:numRef>
              <c:f>Revenue_Dashboard_P_TO!$Y$33:$AH$33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Revenue_Dashboard_P_TO!$V$34</c:f>
              <c:strCache>
                <c:ptCount val="1"/>
                <c:pt idx="0">
                  <c:v>Revenue Category 3 Name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Revenue_Dashboard_P_TO!$Y$31:$AH$31</c:f>
              <c:strCache/>
            </c:strRef>
          </c:cat>
          <c:val>
            <c:numRef>
              <c:f>Revenue_Dashboard_P_TO!$Y$34:$AH$34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Revenue_Dashboard_P_TO!$V$35</c:f>
              <c:strCache>
                <c:ptCount val="1"/>
                <c:pt idx="0">
                  <c:v>Revenue Category 4 Name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Revenue_Dashboard_P_TO!$Y$31:$AH$31</c:f>
              <c:strCache/>
            </c:strRef>
          </c:cat>
          <c:val>
            <c:numRef>
              <c:f>Revenue_Dashboard_P_TO!$Y$35:$AH$35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Revenue_Dashboard_P_TO!$V$36</c:f>
              <c:strCache>
                <c:ptCount val="1"/>
                <c:pt idx="0">
                  <c:v>Revenue Category 5 Name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Revenue_Dashboard_P_TO!$Y$31:$AH$31</c:f>
              <c:strCache/>
            </c:strRef>
          </c:cat>
          <c:val>
            <c:numRef>
              <c:f>Revenue_Dashboard_P_TO!$Y$36:$AH$36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Revenue_Dashboard_P_TO!$V$37</c:f>
              <c:strCache>
                <c:ptCount val="1"/>
                <c:pt idx="0">
                  <c:v>Revenue Category 6 Name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Revenue_Dashboard_P_TO!$Y$31:$AH$31</c:f>
              <c:strCache/>
            </c:strRef>
          </c:cat>
          <c:val>
            <c:numRef>
              <c:f>Revenue_Dashboard_P_TO!$Y$37:$AH$37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overlap val="100"/>
        <c:shape val="box"/>
        <c:axId val="39674186"/>
        <c:axId val="21523355"/>
      </c:bar3DChart>
      <c:catAx>
        <c:axId val="3967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21523355"/>
        <c:crosses val="autoZero"/>
        <c:auto val="1"/>
        <c:lblOffset val="100"/>
        <c:tickLblSkip val="1"/>
        <c:noMultiLvlLbl val="0"/>
      </c:catAx>
      <c:valAx>
        <c:axId val="215233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7418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945"/>
          <c:y val="0.10525"/>
          <c:w val="0.81125"/>
          <c:h val="0.20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Revenue_Dashboard_P_TO!$W$39</c:f>
        </c:strRef>
      </c:tx>
      <c:layout>
        <c:manualLayout>
          <c:xMode val="factor"/>
          <c:yMode val="factor"/>
          <c:x val="-0.00325"/>
          <c:y val="-0.01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0.0275"/>
          <c:y val="0.19575"/>
          <c:w val="0.936"/>
          <c:h val="0.7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Revenue_Dashboard_P_TO!$V$42</c:f>
              <c:strCache>
                <c:ptCount val="1"/>
                <c:pt idx="0">
                  <c:v>Historical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Revenue_Dashboard_P_TO!$Y$41:$AH$41</c:f>
              <c:strCache/>
            </c:strRef>
          </c:cat>
          <c:val>
            <c:numRef>
              <c:f>Revenue_Dashboard_P_TO!$Y$42:$AH$42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Revenue_Dashboard_P_TO!$V$43</c:f>
              <c:strCache>
                <c:ptCount val="1"/>
                <c:pt idx="0">
                  <c:v>Forecast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Revenue_Dashboard_P_TO!$Y$41:$AH$41</c:f>
              <c:strCache/>
            </c:strRef>
          </c:cat>
          <c:val>
            <c:numRef>
              <c:f>Revenue_Dashboard_P_TO!$Y$43:$AH$43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59492468"/>
        <c:axId val="65670165"/>
      </c:barChart>
      <c:catAx>
        <c:axId val="59492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65670165"/>
        <c:crosses val="autoZero"/>
        <c:auto val="1"/>
        <c:lblOffset val="100"/>
        <c:tickLblSkip val="1"/>
        <c:noMultiLvlLbl val="0"/>
      </c:catAx>
      <c:valAx>
        <c:axId val="65670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924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625"/>
          <c:y val="0.10525"/>
          <c:w val="0.40325"/>
          <c:h val="0.0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Revenue_Dashboard_P_TO!$W$45</c:f>
        </c:strRef>
      </c:tx>
      <c:layout>
        <c:manualLayout>
          <c:xMode val="factor"/>
          <c:yMode val="factor"/>
          <c:x val="-0.00325"/>
          <c:y val="-0.01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0.20925"/>
          <c:y val="0.2325"/>
          <c:w val="0.512"/>
          <c:h val="0.55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Revenue_Dashboard_P_TO!$V$49:$V$54</c:f>
              <c:strCache/>
            </c:strRef>
          </c:cat>
          <c:val>
            <c:numRef>
              <c:f>Revenue_Dashboard_P_TO!$Y$49:$Y$54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7</xdr:col>
      <xdr:colOff>495300</xdr:colOff>
      <xdr:row>17</xdr:row>
      <xdr:rowOff>0</xdr:rowOff>
    </xdr:to>
    <xdr:pic>
      <xdr:nvPicPr>
        <xdr:cNvPr id="1" name="Picture 1" descr="Workbook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1752600"/>
          <a:ext cx="2047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8</xdr:col>
      <xdr:colOff>409575</xdr:colOff>
      <xdr:row>48</xdr:row>
      <xdr:rowOff>0</xdr:rowOff>
    </xdr:to>
    <xdr:graphicFrame>
      <xdr:nvGraphicFramePr>
        <xdr:cNvPr id="1" name="Chart 2"/>
        <xdr:cNvGraphicFramePr/>
      </xdr:nvGraphicFramePr>
      <xdr:xfrm>
        <a:off x="219075" y="3009900"/>
        <a:ext cx="33147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609600</xdr:colOff>
      <xdr:row>27</xdr:row>
      <xdr:rowOff>0</xdr:rowOff>
    </xdr:from>
    <xdr:to>
      <xdr:col>13</xdr:col>
      <xdr:colOff>542925</xdr:colOff>
      <xdr:row>48</xdr:row>
      <xdr:rowOff>0</xdr:rowOff>
    </xdr:to>
    <xdr:graphicFrame>
      <xdr:nvGraphicFramePr>
        <xdr:cNvPr id="2" name="Chart 4"/>
        <xdr:cNvGraphicFramePr/>
      </xdr:nvGraphicFramePr>
      <xdr:xfrm>
        <a:off x="3733800" y="3009900"/>
        <a:ext cx="30861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66675</xdr:colOff>
      <xdr:row>27</xdr:row>
      <xdr:rowOff>0</xdr:rowOff>
    </xdr:from>
    <xdr:to>
      <xdr:col>19</xdr:col>
      <xdr:colOff>0</xdr:colOff>
      <xdr:row>48</xdr:row>
      <xdr:rowOff>0</xdr:rowOff>
    </xdr:to>
    <xdr:graphicFrame>
      <xdr:nvGraphicFramePr>
        <xdr:cNvPr id="3" name="Chart 5"/>
        <xdr:cNvGraphicFramePr/>
      </xdr:nvGraphicFramePr>
      <xdr:xfrm>
        <a:off x="6962775" y="3009900"/>
        <a:ext cx="302895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stpracticemodelling.com/" TargetMode="External" /><Relationship Id="rId2" Type="http://schemas.openxmlformats.org/officeDocument/2006/relationships/hyperlink" Target="http://www.bestpracticemodelling.com/training_models_disclaimer" TargetMode="External" /><Relationship Id="rId3" Type="http://schemas.openxmlformats.org/officeDocument/2006/relationships/hyperlink" Target="http://www.bestpracticemodelling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N25"/>
  <sheetViews>
    <sheetView showGridLines="0" tabSelected="1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161</v>
      </c>
    </row>
    <row r="10" ht="15">
      <c r="C10" s="37" t="str">
        <f>"SMA 14. Security &amp; Protection - Best Practice Model Example"&amp;Err_Chks_Msg&amp;Sens_Chks_Msg&amp;Alt_Chks_Msg</f>
        <v>SMA 14. Security &amp; Protection - Best Practice Model Example</v>
      </c>
    </row>
    <row r="11" spans="3:7" ht="10.5">
      <c r="C11" s="133" t="s">
        <v>1</v>
      </c>
      <c r="D11" s="133"/>
      <c r="E11" s="133"/>
      <c r="F11" s="133"/>
      <c r="G11" s="133"/>
    </row>
    <row r="19" ht="10.5">
      <c r="C19" s="2" t="s">
        <v>162</v>
      </c>
    </row>
    <row r="21" ht="10.5">
      <c r="C21" s="2" t="s">
        <v>0</v>
      </c>
    </row>
    <row r="22" spans="3:4" ht="10.5">
      <c r="C22" s="131" t="s">
        <v>118</v>
      </c>
      <c r="D22" s="3" t="s">
        <v>198</v>
      </c>
    </row>
    <row r="23" spans="3:4" ht="10.5">
      <c r="C23" s="131" t="s">
        <v>118</v>
      </c>
      <c r="D23" s="3" t="s">
        <v>199</v>
      </c>
    </row>
    <row r="24" spans="3:14" ht="10.5">
      <c r="C24" s="131" t="s">
        <v>118</v>
      </c>
      <c r="D24" s="123" t="s">
        <v>200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3:13" ht="10.5">
      <c r="C25" s="131" t="s">
        <v>118</v>
      </c>
      <c r="D25" s="123" t="s">
        <v>197</v>
      </c>
      <c r="E25" s="61"/>
      <c r="F25" s="61"/>
      <c r="G25" s="61"/>
      <c r="H25" s="61"/>
      <c r="I25" s="61"/>
      <c r="J25" s="61"/>
      <c r="K25" s="61"/>
      <c r="L25" s="61"/>
      <c r="M25" s="61"/>
    </row>
  </sheetData>
  <sheetProtection sheet="1" objects="1" scenarios="1"/>
  <mergeCells count="1">
    <mergeCell ref="C11:G11"/>
  </mergeCells>
  <hyperlinks>
    <hyperlink ref="C24:N24" r:id="rId1" display="- For more information about this example and bpmToolbox, go to www.bestpracticemodelling.com."/>
    <hyperlink ref="D25:M25" r:id="rId2" tooltip="View the training model usage terms and conditions." display="Use of this model is subject to the training model terms and conditions on the Best Practice Modelling website."/>
    <hyperlink ref="D24" r:id="rId3" display="- For more information about this example and bpmToolbox, go to www.bestpracticemodelling.com."/>
    <hyperlink ref="C11" location="HL_Home" tooltip="Go to Table of Contents" display="HL_Home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5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7"/>
  <sheetViews>
    <sheetView showGridLines="0" zoomScalePageLayoutView="0" workbookViewId="0" topLeftCell="A1">
      <pane xSplit="1" ySplit="13" topLeftCell="B14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/>
  <cols>
    <col min="1" max="5" width="3.83203125" style="0" customWidth="1"/>
  </cols>
  <sheetData>
    <row r="1" ht="18">
      <c r="B1" s="1" t="s">
        <v>173</v>
      </c>
    </row>
    <row r="2" ht="15">
      <c r="B2" s="4" t="str">
        <f>Model_Name</f>
        <v>SMA 14. Security &amp; Protection - Best Practice Model Example</v>
      </c>
    </row>
    <row r="3" spans="2:6" ht="10.5">
      <c r="B3" s="133" t="s">
        <v>1</v>
      </c>
      <c r="C3" s="133"/>
      <c r="D3" s="133"/>
      <c r="E3" s="133"/>
      <c r="F3" s="133"/>
    </row>
    <row r="4" spans="1:6" ht="12.75">
      <c r="A4" s="5" t="s">
        <v>4</v>
      </c>
      <c r="B4" s="7" t="s">
        <v>10</v>
      </c>
      <c r="C4" s="8" t="s">
        <v>11</v>
      </c>
      <c r="D4" s="82" t="s">
        <v>158</v>
      </c>
      <c r="E4" s="82" t="s">
        <v>159</v>
      </c>
      <c r="F4" s="60" t="s">
        <v>160</v>
      </c>
    </row>
    <row r="6" spans="2:19" ht="10.5">
      <c r="B6" s="46" t="str">
        <f>IF(TS_Pers_In_Yr=1,"",TS_Per_Type_Name&amp;" Ending")</f>
        <v>Month Ending</v>
      </c>
      <c r="J6" s="47" t="str">
        <f aca="true" t="shared" si="0" ref="J6:S6">IF(TS_Pers_In_Yr=1,"",LEFT(INDEX(LU_Mth_Names,MONTH(J9)),3)&amp;"-"&amp;RIGHT(YEAR(J9),2))&amp;" "</f>
        <v>Jan-10 </v>
      </c>
      <c r="K6" s="47" t="str">
        <f t="shared" si="0"/>
        <v>Feb-10 </v>
      </c>
      <c r="L6" s="47" t="str">
        <f t="shared" si="0"/>
        <v>Mar-10 </v>
      </c>
      <c r="M6" s="47" t="str">
        <f t="shared" si="0"/>
        <v>Apr-10 </v>
      </c>
      <c r="N6" s="47" t="str">
        <f t="shared" si="0"/>
        <v>May-10 </v>
      </c>
      <c r="O6" s="47" t="str">
        <f t="shared" si="0"/>
        <v>Jun-10 </v>
      </c>
      <c r="P6" s="47" t="str">
        <f t="shared" si="0"/>
        <v>Jul-10 </v>
      </c>
      <c r="Q6" s="47" t="str">
        <f t="shared" si="0"/>
        <v>Aug-10 </v>
      </c>
      <c r="R6" s="47" t="str">
        <f t="shared" si="0"/>
        <v>Sep-10 </v>
      </c>
      <c r="S6" s="47" t="str">
        <f t="shared" si="0"/>
        <v>Oct-10 </v>
      </c>
    </row>
    <row r="7" spans="2:19" ht="10.5">
      <c r="B7" s="52" t="str">
        <f>IF(TS_Pers_In_Yr=1,Yr_Name&amp;" Ending "&amp;DAY(TS_Per_1_End_Date)&amp;" "&amp;INDEX(LU_Mth_Names,DD_TS_Fin_YE_Mth),TS_Per_Type_Name)</f>
        <v>Month</v>
      </c>
      <c r="C7" s="30"/>
      <c r="D7" s="30"/>
      <c r="E7" s="30"/>
      <c r="F7" s="30"/>
      <c r="G7" s="30"/>
      <c r="H7" s="30"/>
      <c r="I7" s="30"/>
      <c r="J7" s="53" t="str">
        <f aca="true" t="shared" si="1" ref="J7:S7">IF(TS_Pers_In_Yr=1,J10&amp;" ",J11)&amp;IF(CB_TS_Show_Hist_Fcast_Pers,IF(J12&lt;=TS_Actual_Pers,TS_Actual_Per_Title,IF(J12&lt;=TS_Actual_Pers+TS_Budget_Pers,TS_Budget_Per_Title,TS_Fcast_Per_Title))&amp;" ","")</f>
        <v>M1 (A) </v>
      </c>
      <c r="K7" s="53" t="str">
        <f t="shared" si="1"/>
        <v>M2 (A) </v>
      </c>
      <c r="L7" s="53" t="str">
        <f t="shared" si="1"/>
        <v>M3 (A) </v>
      </c>
      <c r="M7" s="53" t="str">
        <f t="shared" si="1"/>
        <v>M4 (F) </v>
      </c>
      <c r="N7" s="53" t="str">
        <f t="shared" si="1"/>
        <v>M5 (F) </v>
      </c>
      <c r="O7" s="53" t="str">
        <f t="shared" si="1"/>
        <v>M6 (F) </v>
      </c>
      <c r="P7" s="53" t="str">
        <f t="shared" si="1"/>
        <v>M7 (F) </v>
      </c>
      <c r="Q7" s="53" t="str">
        <f t="shared" si="1"/>
        <v>M8 (F) </v>
      </c>
      <c r="R7" s="53" t="str">
        <f t="shared" si="1"/>
        <v>M9 (F) </v>
      </c>
      <c r="S7" s="53" t="str">
        <f t="shared" si="1"/>
        <v>M10 (F) </v>
      </c>
    </row>
    <row r="8" spans="2:19" ht="10.5" hidden="1" outlineLevel="2">
      <c r="B8" s="3" t="s">
        <v>143</v>
      </c>
      <c r="J8" s="48">
        <f aca="true" t="shared" si="2" ref="J8:S8">IF(J12=1,TS_Start_Date,I9+1)</f>
        <v>40179</v>
      </c>
      <c r="K8" s="48">
        <f t="shared" si="2"/>
        <v>40210</v>
      </c>
      <c r="L8" s="48">
        <f t="shared" si="2"/>
        <v>40238</v>
      </c>
      <c r="M8" s="48">
        <f t="shared" si="2"/>
        <v>40269</v>
      </c>
      <c r="N8" s="48">
        <f t="shared" si="2"/>
        <v>40299</v>
      </c>
      <c r="O8" s="48">
        <f t="shared" si="2"/>
        <v>40330</v>
      </c>
      <c r="P8" s="48">
        <f t="shared" si="2"/>
        <v>40360</v>
      </c>
      <c r="Q8" s="48">
        <f t="shared" si="2"/>
        <v>40391</v>
      </c>
      <c r="R8" s="48">
        <f t="shared" si="2"/>
        <v>40422</v>
      </c>
      <c r="S8" s="48">
        <f t="shared" si="2"/>
        <v>40452</v>
      </c>
    </row>
    <row r="9" spans="2:19" ht="10.5" hidden="1" outlineLevel="2">
      <c r="B9" s="3" t="s">
        <v>144</v>
      </c>
      <c r="J9" s="48">
        <f aca="true" t="shared" si="3" ref="J9:S9">IF(J12=1,TS_Per_1_End_Date,IF(TS_Mth_End,EOMONTH(EDATE(TS_Per_1_FY_Start_Date,(TS_Per_1_Number+J12-1)*TS_Mths_In_Per-1),0),EDATE(TS_Per_1_FY_Start_Date,(TS_Per_1_Number+J12-1)*TS_Mths_In_Per)-1))</f>
        <v>40209</v>
      </c>
      <c r="K9" s="48">
        <f t="shared" si="3"/>
        <v>40237</v>
      </c>
      <c r="L9" s="48">
        <f t="shared" si="3"/>
        <v>40268</v>
      </c>
      <c r="M9" s="48">
        <f t="shared" si="3"/>
        <v>40298</v>
      </c>
      <c r="N9" s="48">
        <f t="shared" si="3"/>
        <v>40329</v>
      </c>
      <c r="O9" s="48">
        <f t="shared" si="3"/>
        <v>40359</v>
      </c>
      <c r="P9" s="48">
        <f t="shared" si="3"/>
        <v>40390</v>
      </c>
      <c r="Q9" s="48">
        <f t="shared" si="3"/>
        <v>40421</v>
      </c>
      <c r="R9" s="48">
        <f t="shared" si="3"/>
        <v>40451</v>
      </c>
      <c r="S9" s="48">
        <f t="shared" si="3"/>
        <v>40482</v>
      </c>
    </row>
    <row r="10" spans="2:19" ht="10.5" hidden="1" outlineLevel="2">
      <c r="B10" s="3" t="s">
        <v>145</v>
      </c>
      <c r="J10" s="49">
        <f aca="true" t="shared" si="4" ref="J10:S10">YEAR(TS_Per_1_FY_End_Date)+INT((TS_Per_1_Number+J12-2)/TS_Pers_In_Yr)</f>
        <v>2010</v>
      </c>
      <c r="K10" s="49">
        <f t="shared" si="4"/>
        <v>2010</v>
      </c>
      <c r="L10" s="49">
        <f t="shared" si="4"/>
        <v>2010</v>
      </c>
      <c r="M10" s="49">
        <f t="shared" si="4"/>
        <v>2010</v>
      </c>
      <c r="N10" s="49">
        <f t="shared" si="4"/>
        <v>2010</v>
      </c>
      <c r="O10" s="49">
        <f t="shared" si="4"/>
        <v>2010</v>
      </c>
      <c r="P10" s="49">
        <f t="shared" si="4"/>
        <v>2010</v>
      </c>
      <c r="Q10" s="49">
        <f t="shared" si="4"/>
        <v>2010</v>
      </c>
      <c r="R10" s="49">
        <f t="shared" si="4"/>
        <v>2010</v>
      </c>
      <c r="S10" s="49">
        <f t="shared" si="4"/>
        <v>2010</v>
      </c>
    </row>
    <row r="11" spans="2:19" ht="10.5" hidden="1" outlineLevel="2">
      <c r="B11" s="3" t="s">
        <v>146</v>
      </c>
      <c r="J11" s="50" t="str">
        <f aca="true" t="shared" si="5" ref="J11:S11">IF(TS_Pers_In_Yr=1,Yr_Name,TS_Per_Type_Prefix&amp;IF(MOD(TS_Per_1_Number+J12-1,TS_Pers_In_Yr)=0,TS_Pers_In_Yr,MOD(TS_Per_1_Number+J12-1,TS_Pers_In_Yr)))&amp;" "</f>
        <v>M1 </v>
      </c>
      <c r="K11" s="50" t="str">
        <f t="shared" si="5"/>
        <v>M2 </v>
      </c>
      <c r="L11" s="50" t="str">
        <f t="shared" si="5"/>
        <v>M3 </v>
      </c>
      <c r="M11" s="50" t="str">
        <f t="shared" si="5"/>
        <v>M4 </v>
      </c>
      <c r="N11" s="50" t="str">
        <f t="shared" si="5"/>
        <v>M5 </v>
      </c>
      <c r="O11" s="50" t="str">
        <f t="shared" si="5"/>
        <v>M6 </v>
      </c>
      <c r="P11" s="50" t="str">
        <f t="shared" si="5"/>
        <v>M7 </v>
      </c>
      <c r="Q11" s="50" t="str">
        <f t="shared" si="5"/>
        <v>M8 </v>
      </c>
      <c r="R11" s="50" t="str">
        <f t="shared" si="5"/>
        <v>M9 </v>
      </c>
      <c r="S11" s="50" t="str">
        <f t="shared" si="5"/>
        <v>M10 </v>
      </c>
    </row>
    <row r="12" spans="2:19" ht="10.5" hidden="1" outlineLevel="2">
      <c r="B12" s="3" t="s">
        <v>147</v>
      </c>
      <c r="J12" s="51">
        <f>COLUMN(J12)-COLUMN($J12)+1</f>
        <v>1</v>
      </c>
      <c r="K12" s="51">
        <f aca="true" t="shared" si="6" ref="K12:S12">COLUMN(K12)-COLUMN($J12)+1</f>
        <v>2</v>
      </c>
      <c r="L12" s="51">
        <f t="shared" si="6"/>
        <v>3</v>
      </c>
      <c r="M12" s="51">
        <f t="shared" si="6"/>
        <v>4</v>
      </c>
      <c r="N12" s="51">
        <f t="shared" si="6"/>
        <v>5</v>
      </c>
      <c r="O12" s="51">
        <f t="shared" si="6"/>
        <v>6</v>
      </c>
      <c r="P12" s="51">
        <f t="shared" si="6"/>
        <v>7</v>
      </c>
      <c r="Q12" s="51">
        <f t="shared" si="6"/>
        <v>8</v>
      </c>
      <c r="R12" s="51">
        <f t="shared" si="6"/>
        <v>9</v>
      </c>
      <c r="S12" s="51">
        <f t="shared" si="6"/>
        <v>10</v>
      </c>
    </row>
    <row r="13" spans="2:19" ht="10.5" hidden="1" outlineLevel="2">
      <c r="B13" s="54" t="s">
        <v>148</v>
      </c>
      <c r="C13" s="30"/>
      <c r="D13" s="30"/>
      <c r="E13" s="30"/>
      <c r="F13" s="30"/>
      <c r="G13" s="30"/>
      <c r="H13" s="30"/>
      <c r="I13" s="30"/>
      <c r="J13" s="55" t="str">
        <f>J10&amp;"-"&amp;J11</f>
        <v>2010-M1 </v>
      </c>
      <c r="K13" s="55" t="str">
        <f aca="true" t="shared" si="7" ref="K13:S13">K10&amp;"-"&amp;K11</f>
        <v>2010-M2 </v>
      </c>
      <c r="L13" s="55" t="str">
        <f t="shared" si="7"/>
        <v>2010-M3 </v>
      </c>
      <c r="M13" s="55" t="str">
        <f t="shared" si="7"/>
        <v>2010-M4 </v>
      </c>
      <c r="N13" s="55" t="str">
        <f t="shared" si="7"/>
        <v>2010-M5 </v>
      </c>
      <c r="O13" s="55" t="str">
        <f t="shared" si="7"/>
        <v>2010-M6 </v>
      </c>
      <c r="P13" s="55" t="str">
        <f t="shared" si="7"/>
        <v>2010-M7 </v>
      </c>
      <c r="Q13" s="55" t="str">
        <f t="shared" si="7"/>
        <v>2010-M8 </v>
      </c>
      <c r="R13" s="55" t="str">
        <f t="shared" si="7"/>
        <v>2010-M9 </v>
      </c>
      <c r="S13" s="55" t="str">
        <f t="shared" si="7"/>
        <v>2010-M10 </v>
      </c>
    </row>
    <row r="14" ht="10.5" collapsed="1"/>
    <row r="16" ht="12.75">
      <c r="B16" s="77" t="str">
        <f>Rev_Hist_TA!B16</f>
        <v>Revenue</v>
      </c>
    </row>
    <row r="18" spans="3:10" ht="10.5">
      <c r="C18" s="78" t="str">
        <f>Rev_Hist_TA!C18</f>
        <v>Category</v>
      </c>
      <c r="J18" s="107" t="str">
        <f>INDEX(LU_Denom,DD_TS_Denom)</f>
        <v>$Millions</v>
      </c>
    </row>
    <row r="19" spans="3:19" ht="10.5">
      <c r="C19" s="61" t="str">
        <f>Revenue_Category_1_Name</f>
        <v>Revenue Category 1 Name</v>
      </c>
      <c r="J19" s="79">
        <f>Rev_Hist_TO!J19+Rev_Fcast_TO!J19</f>
        <v>100</v>
      </c>
      <c r="K19" s="79">
        <f>Rev_Hist_TO!K19+Rev_Fcast_TO!K19</f>
        <v>101</v>
      </c>
      <c r="L19" s="79">
        <f>Rev_Hist_TO!L19+Rev_Fcast_TO!L19</f>
        <v>102</v>
      </c>
      <c r="M19" s="79">
        <f>Rev_Hist_TO!M19+Rev_Fcast_TO!M19</f>
        <v>103</v>
      </c>
      <c r="N19" s="79">
        <f>Rev_Hist_TO!N19+Rev_Fcast_TO!N19</f>
        <v>104</v>
      </c>
      <c r="O19" s="79">
        <f>Rev_Hist_TO!O19+Rev_Fcast_TO!O19</f>
        <v>105</v>
      </c>
      <c r="P19" s="79">
        <f>Rev_Hist_TO!P19+Rev_Fcast_TO!P19</f>
        <v>106</v>
      </c>
      <c r="Q19" s="79">
        <f>Rev_Hist_TO!Q19+Rev_Fcast_TO!Q19</f>
        <v>107</v>
      </c>
      <c r="R19" s="79">
        <f>Rev_Hist_TO!R19+Rev_Fcast_TO!R19</f>
        <v>108</v>
      </c>
      <c r="S19" s="79">
        <f>Rev_Hist_TO!S19+Rev_Fcast_TO!S19</f>
        <v>109</v>
      </c>
    </row>
    <row r="20" spans="3:19" ht="10.5">
      <c r="C20" s="61" t="str">
        <f>Revenue_Category_2_Name</f>
        <v>Revenue Category 2 Name</v>
      </c>
      <c r="J20" s="79">
        <f>Rev_Hist_TO!J20+Rev_Fcast_TO!J20</f>
        <v>101</v>
      </c>
      <c r="K20" s="79">
        <f>Rev_Hist_TO!K20+Rev_Fcast_TO!K20</f>
        <v>102</v>
      </c>
      <c r="L20" s="79">
        <f>Rev_Hist_TO!L20+Rev_Fcast_TO!L20</f>
        <v>103</v>
      </c>
      <c r="M20" s="79">
        <f>Rev_Hist_TO!M20+Rev_Fcast_TO!M20</f>
        <v>104</v>
      </c>
      <c r="N20" s="79">
        <f>Rev_Hist_TO!N20+Rev_Fcast_TO!N20</f>
        <v>105</v>
      </c>
      <c r="O20" s="79">
        <f>Rev_Hist_TO!O20+Rev_Fcast_TO!O20</f>
        <v>106</v>
      </c>
      <c r="P20" s="79">
        <f>Rev_Hist_TO!P20+Rev_Fcast_TO!P20</f>
        <v>107</v>
      </c>
      <c r="Q20" s="79">
        <f>Rev_Hist_TO!Q20+Rev_Fcast_TO!Q20</f>
        <v>108</v>
      </c>
      <c r="R20" s="79">
        <f>Rev_Hist_TO!R20+Rev_Fcast_TO!R20</f>
        <v>109</v>
      </c>
      <c r="S20" s="79">
        <f>Rev_Hist_TO!S20+Rev_Fcast_TO!S20</f>
        <v>110</v>
      </c>
    </row>
    <row r="21" spans="3:19" ht="10.5">
      <c r="C21" s="61" t="str">
        <f>Revenue_Category_3_Name</f>
        <v>Revenue Category 3 Name</v>
      </c>
      <c r="J21" s="79">
        <f>Rev_Hist_TO!J21+Rev_Fcast_TO!J21</f>
        <v>102</v>
      </c>
      <c r="K21" s="79">
        <f>Rev_Hist_TO!K21+Rev_Fcast_TO!K21</f>
        <v>103</v>
      </c>
      <c r="L21" s="79">
        <f>Rev_Hist_TO!L21+Rev_Fcast_TO!L21</f>
        <v>104</v>
      </c>
      <c r="M21" s="79">
        <f>Rev_Hist_TO!M21+Rev_Fcast_TO!M21</f>
        <v>105</v>
      </c>
      <c r="N21" s="79">
        <f>Rev_Hist_TO!N21+Rev_Fcast_TO!N21</f>
        <v>106</v>
      </c>
      <c r="O21" s="79">
        <f>Rev_Hist_TO!O21+Rev_Fcast_TO!O21</f>
        <v>107</v>
      </c>
      <c r="P21" s="79">
        <f>Rev_Hist_TO!P21+Rev_Fcast_TO!P21</f>
        <v>108</v>
      </c>
      <c r="Q21" s="79">
        <f>Rev_Hist_TO!Q21+Rev_Fcast_TO!Q21</f>
        <v>109</v>
      </c>
      <c r="R21" s="79">
        <f>Rev_Hist_TO!R21+Rev_Fcast_TO!R21</f>
        <v>110</v>
      </c>
      <c r="S21" s="79">
        <f>Rev_Hist_TO!S21+Rev_Fcast_TO!S21</f>
        <v>111</v>
      </c>
    </row>
    <row r="22" spans="3:19" ht="10.5">
      <c r="C22" s="61" t="str">
        <f>Revenue_Category_4_Name</f>
        <v>Revenue Category 4 Name</v>
      </c>
      <c r="J22" s="79">
        <f>Rev_Hist_TO!J22+Rev_Fcast_TO!J22</f>
        <v>103</v>
      </c>
      <c r="K22" s="79">
        <f>Rev_Hist_TO!K22+Rev_Fcast_TO!K22</f>
        <v>104</v>
      </c>
      <c r="L22" s="79">
        <f>Rev_Hist_TO!L22+Rev_Fcast_TO!L22</f>
        <v>105</v>
      </c>
      <c r="M22" s="79">
        <f>Rev_Hist_TO!M22+Rev_Fcast_TO!M22</f>
        <v>106</v>
      </c>
      <c r="N22" s="79">
        <f>Rev_Hist_TO!N22+Rev_Fcast_TO!N22</f>
        <v>107</v>
      </c>
      <c r="O22" s="79">
        <f>Rev_Hist_TO!O22+Rev_Fcast_TO!O22</f>
        <v>108</v>
      </c>
      <c r="P22" s="79">
        <f>Rev_Hist_TO!P22+Rev_Fcast_TO!P22</f>
        <v>109</v>
      </c>
      <c r="Q22" s="79">
        <f>Rev_Hist_TO!Q22+Rev_Fcast_TO!Q22</f>
        <v>110</v>
      </c>
      <c r="R22" s="79">
        <f>Rev_Hist_TO!R22+Rev_Fcast_TO!R22</f>
        <v>111</v>
      </c>
      <c r="S22" s="79">
        <f>Rev_Hist_TO!S22+Rev_Fcast_TO!S22</f>
        <v>112</v>
      </c>
    </row>
    <row r="23" spans="3:19" ht="10.5">
      <c r="C23" s="61" t="str">
        <f>Revenue_Category_5_Name</f>
        <v>Revenue Category 5 Name</v>
      </c>
      <c r="J23" s="79">
        <f>Rev_Hist_TO!J23+Rev_Fcast_TO!J23</f>
        <v>104</v>
      </c>
      <c r="K23" s="79">
        <f>Rev_Hist_TO!K23+Rev_Fcast_TO!K23</f>
        <v>105</v>
      </c>
      <c r="L23" s="79">
        <f>Rev_Hist_TO!L23+Rev_Fcast_TO!L23</f>
        <v>106</v>
      </c>
      <c r="M23" s="79">
        <f>Rev_Hist_TO!M23+Rev_Fcast_TO!M23</f>
        <v>107</v>
      </c>
      <c r="N23" s="79">
        <f>Rev_Hist_TO!N23+Rev_Fcast_TO!N23</f>
        <v>108</v>
      </c>
      <c r="O23" s="79">
        <f>Rev_Hist_TO!O23+Rev_Fcast_TO!O23</f>
        <v>109</v>
      </c>
      <c r="P23" s="79">
        <f>Rev_Hist_TO!P23+Rev_Fcast_TO!P23</f>
        <v>110</v>
      </c>
      <c r="Q23" s="79">
        <f>Rev_Hist_TO!Q23+Rev_Fcast_TO!Q23</f>
        <v>111</v>
      </c>
      <c r="R23" s="79">
        <f>Rev_Hist_TO!R23+Rev_Fcast_TO!R23</f>
        <v>112</v>
      </c>
      <c r="S23" s="79">
        <f>Rev_Hist_TO!S23+Rev_Fcast_TO!S23</f>
        <v>113</v>
      </c>
    </row>
    <row r="24" spans="3:19" ht="10.5">
      <c r="C24" s="61" t="str">
        <f>Revenue_Category_6_Name</f>
        <v>Revenue Category 6 Name</v>
      </c>
      <c r="J24" s="79">
        <f>Rev_Hist_TO!J24+Rev_Fcast_TO!J24</f>
        <v>105</v>
      </c>
      <c r="K24" s="79">
        <f>Rev_Hist_TO!K24+Rev_Fcast_TO!K24</f>
        <v>106</v>
      </c>
      <c r="L24" s="79">
        <f>Rev_Hist_TO!L24+Rev_Fcast_TO!L24</f>
        <v>107</v>
      </c>
      <c r="M24" s="79">
        <f>Rev_Hist_TO!M24+Rev_Fcast_TO!M24</f>
        <v>108</v>
      </c>
      <c r="N24" s="79">
        <f>Rev_Hist_TO!N24+Rev_Fcast_TO!N24</f>
        <v>109</v>
      </c>
      <c r="O24" s="79">
        <f>Rev_Hist_TO!O24+Rev_Fcast_TO!O24</f>
        <v>110</v>
      </c>
      <c r="P24" s="79">
        <f>Rev_Hist_TO!P24+Rev_Fcast_TO!P24</f>
        <v>111</v>
      </c>
      <c r="Q24" s="79">
        <f>Rev_Hist_TO!Q24+Rev_Fcast_TO!Q24</f>
        <v>112</v>
      </c>
      <c r="R24" s="79">
        <f>Rev_Hist_TO!R24+Rev_Fcast_TO!R24</f>
        <v>113</v>
      </c>
      <c r="S24" s="79">
        <f>Rev_Hist_TO!S24+Rev_Fcast_TO!S24</f>
        <v>114</v>
      </c>
    </row>
    <row r="25" spans="3:19" ht="10.5">
      <c r="C25" s="78" t="str">
        <f>Rev_Fcast_TA!C25</f>
        <v>Total Revenue</v>
      </c>
      <c r="J25" s="80">
        <f>SUM(J19:J24)</f>
        <v>615</v>
      </c>
      <c r="K25" s="80">
        <f aca="true" t="shared" si="8" ref="K25:S25">SUM(K19:K24)</f>
        <v>621</v>
      </c>
      <c r="L25" s="80">
        <f t="shared" si="8"/>
        <v>627</v>
      </c>
      <c r="M25" s="80">
        <f t="shared" si="8"/>
        <v>633</v>
      </c>
      <c r="N25" s="80">
        <f t="shared" si="8"/>
        <v>639</v>
      </c>
      <c r="O25" s="80">
        <f t="shared" si="8"/>
        <v>645</v>
      </c>
      <c r="P25" s="80">
        <f t="shared" si="8"/>
        <v>651</v>
      </c>
      <c r="Q25" s="80">
        <f t="shared" si="8"/>
        <v>657</v>
      </c>
      <c r="R25" s="80">
        <f t="shared" si="8"/>
        <v>663</v>
      </c>
      <c r="S25" s="80">
        <f t="shared" si="8"/>
        <v>669</v>
      </c>
    </row>
    <row r="27" spans="3:19" ht="10.5">
      <c r="C27" s="123" t="s">
        <v>193</v>
      </c>
      <c r="I27" s="116">
        <f>IF(ISERROR(SUM(J27:S27)),1,MIN(SUM(J27:S27),1))</f>
        <v>0</v>
      </c>
      <c r="J27" s="115">
        <f>IF(ISERROR(J25),1,0)</f>
        <v>0</v>
      </c>
      <c r="K27" s="115">
        <f aca="true" t="shared" si="9" ref="K27:S27">IF(ISERROR(K25),1,0)</f>
        <v>0</v>
      </c>
      <c r="L27" s="115">
        <f t="shared" si="9"/>
        <v>0</v>
      </c>
      <c r="M27" s="115">
        <f t="shared" si="9"/>
        <v>0</v>
      </c>
      <c r="N27" s="115">
        <f t="shared" si="9"/>
        <v>0</v>
      </c>
      <c r="O27" s="115">
        <f t="shared" si="9"/>
        <v>0</v>
      </c>
      <c r="P27" s="115">
        <f t="shared" si="9"/>
        <v>0</v>
      </c>
      <c r="Q27" s="115">
        <f t="shared" si="9"/>
        <v>0</v>
      </c>
      <c r="R27" s="115">
        <f t="shared" si="9"/>
        <v>0</v>
      </c>
      <c r="S27" s="115">
        <f t="shared" si="9"/>
        <v>0</v>
      </c>
    </row>
  </sheetData>
  <sheetProtection sheet="1" objects="1" scenarios="1"/>
  <mergeCells count="1">
    <mergeCell ref="B3:F3"/>
  </mergeCells>
  <conditionalFormatting sqref="J27:S27">
    <cfRule type="cellIs" priority="2" dxfId="12" operator="notEqual" stopIfTrue="1">
      <formula>0</formula>
    </cfRule>
  </conditionalFormatting>
  <conditionalFormatting sqref="I27">
    <cfRule type="cellIs" priority="3" dxfId="12" operator="notEqual" stopIfTrue="1">
      <formula>0</formula>
    </cfRule>
  </conditionalFormatting>
  <hyperlinks>
    <hyperlink ref="B3" location="HL_Home" tooltip="Go to Table of Contents" display="HL_Home"/>
    <hyperlink ref="A4" location="$B$14" tooltip="Go to Top of Sheet" display="$B$14"/>
    <hyperlink ref="B4" location="HL_Sheet_Main_15" tooltip="Go to Previous Sheet" display="HL_Sheet_Main_15"/>
    <hyperlink ref="C4" location="HL_Sheet_Main_16" tooltip="Go to Next Sheet" display="HL_Sheet_Main_16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48" right="0.3937007874015748" top="0.5905511811023623" bottom="0.984251968503937" header="0" footer="0.31496062992125984"/>
  <pageSetup horizontalDpi="300" verticalDpi="300" orientation="landscape" paperSize="9" scale="95" r:id="rId3"/>
  <headerFooter alignWithMargins="0">
    <oddFooter>&amp;L&amp;"Bold"&amp;7&amp;F
&amp;A
Printed: &amp;T on &amp;D&amp;C&amp;"Bold"&amp;10Page &amp;P of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55"/>
  <sheetViews>
    <sheetView showGridLines="0" zoomScalePageLayoutView="0" workbookViewId="0" topLeftCell="A1">
      <pane xSplit="1" ySplit="13" topLeftCell="B14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/>
  <cols>
    <col min="1" max="5" width="3.83203125" style="83" customWidth="1"/>
    <col min="6" max="9" width="11.83203125" style="83" customWidth="1"/>
    <col min="10" max="19" width="10.83203125" style="83" customWidth="1"/>
    <col min="20" max="20" width="2.83203125" style="83" customWidth="1"/>
    <col min="21" max="21" width="3.83203125" style="83" customWidth="1"/>
    <col min="22" max="16384" width="11.83203125" style="83" customWidth="1"/>
  </cols>
  <sheetData>
    <row r="1" ht="18">
      <c r="B1" s="85" t="s">
        <v>177</v>
      </c>
    </row>
    <row r="2" ht="15">
      <c r="B2" s="84" t="str">
        <f>Model_Name</f>
        <v>SMA 14. Security &amp; Protection - Best Practice Model Example</v>
      </c>
    </row>
    <row r="3" spans="2:6" ht="10.5">
      <c r="B3" s="157" t="s">
        <v>1</v>
      </c>
      <c r="C3" s="157"/>
      <c r="D3" s="157"/>
      <c r="E3" s="157"/>
      <c r="F3" s="157"/>
    </row>
    <row r="4" spans="1:6" ht="12.75">
      <c r="A4" s="86" t="s">
        <v>4</v>
      </c>
      <c r="B4" s="87" t="s">
        <v>10</v>
      </c>
      <c r="C4" s="88" t="s">
        <v>11</v>
      </c>
      <c r="D4" s="82" t="s">
        <v>158</v>
      </c>
      <c r="E4" s="82" t="s">
        <v>159</v>
      </c>
      <c r="F4" s="60" t="s">
        <v>160</v>
      </c>
    </row>
    <row r="6" spans="2:19" ht="10.5">
      <c r="B6" s="89" t="str">
        <f>IF(TS_Pers_In_Yr=1,"",TS_Per_Type_Name&amp;" Ending")</f>
        <v>Month Ending</v>
      </c>
      <c r="J6" s="92" t="str">
        <f aca="true" t="shared" si="0" ref="J6:S6">IF(TS_Pers_In_Yr=1,"",LEFT(INDEX(LU_Mth_Names,MONTH(J9)),3)&amp;"-"&amp;RIGHT(YEAR(J9),2))&amp;" "</f>
        <v>Jan-10 </v>
      </c>
      <c r="K6" s="92" t="str">
        <f t="shared" si="0"/>
        <v>Feb-10 </v>
      </c>
      <c r="L6" s="92" t="str">
        <f t="shared" si="0"/>
        <v>Mar-10 </v>
      </c>
      <c r="M6" s="92" t="str">
        <f t="shared" si="0"/>
        <v>Apr-10 </v>
      </c>
      <c r="N6" s="92" t="str">
        <f t="shared" si="0"/>
        <v>May-10 </v>
      </c>
      <c r="O6" s="92" t="str">
        <f t="shared" si="0"/>
        <v>Jun-10 </v>
      </c>
      <c r="P6" s="92" t="str">
        <f t="shared" si="0"/>
        <v>Jul-10 </v>
      </c>
      <c r="Q6" s="92" t="str">
        <f t="shared" si="0"/>
        <v>Aug-10 </v>
      </c>
      <c r="R6" s="92" t="str">
        <f t="shared" si="0"/>
        <v>Sep-10 </v>
      </c>
      <c r="S6" s="92" t="str">
        <f t="shared" si="0"/>
        <v>Oct-10 </v>
      </c>
    </row>
    <row r="7" spans="2:19" ht="10.5">
      <c r="B7" s="98" t="str">
        <f>IF(TS_Pers_In_Yr=1,Yr_Name&amp;" Ending "&amp;DAY(TS_Per_1_End_Date)&amp;" "&amp;INDEX(LU_Mth_Names,DD_TS_Fin_YE_Mth),TS_Per_Type_Name)</f>
        <v>Month</v>
      </c>
      <c r="C7" s="99"/>
      <c r="D7" s="99"/>
      <c r="E7" s="99"/>
      <c r="F7" s="99"/>
      <c r="G7" s="99"/>
      <c r="H7" s="99"/>
      <c r="I7" s="99"/>
      <c r="J7" s="100" t="str">
        <f aca="true" t="shared" si="1" ref="J7:S7">IF(TS_Pers_In_Yr=1,J10&amp;" ",J11)&amp;IF(CB_TS_Show_Hist_Fcast_Pers,IF(J12&lt;=TS_Actual_Pers,TS_Actual_Per_Title,IF(J12&lt;=TS_Actual_Pers+TS_Budget_Pers,TS_Budget_Per_Title,TS_Fcast_Per_Title))&amp;" ","")</f>
        <v>M1 (A) </v>
      </c>
      <c r="K7" s="100" t="str">
        <f t="shared" si="1"/>
        <v>M2 (A) </v>
      </c>
      <c r="L7" s="100" t="str">
        <f t="shared" si="1"/>
        <v>M3 (A) </v>
      </c>
      <c r="M7" s="100" t="str">
        <f t="shared" si="1"/>
        <v>M4 (F) </v>
      </c>
      <c r="N7" s="100" t="str">
        <f t="shared" si="1"/>
        <v>M5 (F) </v>
      </c>
      <c r="O7" s="100" t="str">
        <f t="shared" si="1"/>
        <v>M6 (F) </v>
      </c>
      <c r="P7" s="100" t="str">
        <f t="shared" si="1"/>
        <v>M7 (F) </v>
      </c>
      <c r="Q7" s="100" t="str">
        <f t="shared" si="1"/>
        <v>M8 (F) </v>
      </c>
      <c r="R7" s="100" t="str">
        <f t="shared" si="1"/>
        <v>M9 (F) </v>
      </c>
      <c r="S7" s="100" t="str">
        <f t="shared" si="1"/>
        <v>M10 (F) </v>
      </c>
    </row>
    <row r="8" spans="2:19" ht="10.5" hidden="1" outlineLevel="2">
      <c r="B8" s="91" t="s">
        <v>143</v>
      </c>
      <c r="J8" s="93">
        <f aca="true" t="shared" si="2" ref="J8:S8">IF(J12=1,TS_Start_Date,I9+1)</f>
        <v>40179</v>
      </c>
      <c r="K8" s="93">
        <f t="shared" si="2"/>
        <v>40210</v>
      </c>
      <c r="L8" s="93">
        <f t="shared" si="2"/>
        <v>40238</v>
      </c>
      <c r="M8" s="93">
        <f t="shared" si="2"/>
        <v>40269</v>
      </c>
      <c r="N8" s="93">
        <f t="shared" si="2"/>
        <v>40299</v>
      </c>
      <c r="O8" s="93">
        <f t="shared" si="2"/>
        <v>40330</v>
      </c>
      <c r="P8" s="93">
        <f t="shared" si="2"/>
        <v>40360</v>
      </c>
      <c r="Q8" s="93">
        <f t="shared" si="2"/>
        <v>40391</v>
      </c>
      <c r="R8" s="93">
        <f t="shared" si="2"/>
        <v>40422</v>
      </c>
      <c r="S8" s="93">
        <f t="shared" si="2"/>
        <v>40452</v>
      </c>
    </row>
    <row r="9" spans="2:19" ht="10.5" hidden="1" outlineLevel="2">
      <c r="B9" s="91" t="s">
        <v>144</v>
      </c>
      <c r="J9" s="93">
        <f aca="true" t="shared" si="3" ref="J9:S9">IF(J12=1,TS_Per_1_End_Date,IF(TS_Mth_End,EOMONTH(EDATE(TS_Per_1_FY_Start_Date,(TS_Per_1_Number+J12-1)*TS_Mths_In_Per-1),0),EDATE(TS_Per_1_FY_Start_Date,(TS_Per_1_Number+J12-1)*TS_Mths_In_Per)-1))</f>
        <v>40209</v>
      </c>
      <c r="K9" s="93">
        <f t="shared" si="3"/>
        <v>40237</v>
      </c>
      <c r="L9" s="93">
        <f t="shared" si="3"/>
        <v>40268</v>
      </c>
      <c r="M9" s="93">
        <f t="shared" si="3"/>
        <v>40298</v>
      </c>
      <c r="N9" s="93">
        <f t="shared" si="3"/>
        <v>40329</v>
      </c>
      <c r="O9" s="93">
        <f t="shared" si="3"/>
        <v>40359</v>
      </c>
      <c r="P9" s="93">
        <f t="shared" si="3"/>
        <v>40390</v>
      </c>
      <c r="Q9" s="93">
        <f t="shared" si="3"/>
        <v>40421</v>
      </c>
      <c r="R9" s="93">
        <f t="shared" si="3"/>
        <v>40451</v>
      </c>
      <c r="S9" s="93">
        <f t="shared" si="3"/>
        <v>40482</v>
      </c>
    </row>
    <row r="10" spans="2:19" ht="10.5" hidden="1" outlineLevel="2">
      <c r="B10" s="91" t="s">
        <v>145</v>
      </c>
      <c r="J10" s="94">
        <f aca="true" t="shared" si="4" ref="J10:S10">YEAR(TS_Per_1_FY_End_Date)+INT((TS_Per_1_Number+J12-2)/TS_Pers_In_Yr)</f>
        <v>2010</v>
      </c>
      <c r="K10" s="94">
        <f t="shared" si="4"/>
        <v>2010</v>
      </c>
      <c r="L10" s="94">
        <f t="shared" si="4"/>
        <v>2010</v>
      </c>
      <c r="M10" s="94">
        <f t="shared" si="4"/>
        <v>2010</v>
      </c>
      <c r="N10" s="94">
        <f t="shared" si="4"/>
        <v>2010</v>
      </c>
      <c r="O10" s="94">
        <f t="shared" si="4"/>
        <v>2010</v>
      </c>
      <c r="P10" s="94">
        <f t="shared" si="4"/>
        <v>2010</v>
      </c>
      <c r="Q10" s="94">
        <f t="shared" si="4"/>
        <v>2010</v>
      </c>
      <c r="R10" s="94">
        <f t="shared" si="4"/>
        <v>2010</v>
      </c>
      <c r="S10" s="94">
        <f t="shared" si="4"/>
        <v>2010</v>
      </c>
    </row>
    <row r="11" spans="2:19" ht="10.5" hidden="1" outlineLevel="2">
      <c r="B11" s="91" t="s">
        <v>146</v>
      </c>
      <c r="J11" s="95" t="str">
        <f aca="true" t="shared" si="5" ref="J11:S11">IF(TS_Pers_In_Yr=1,Yr_Name,TS_Per_Type_Prefix&amp;IF(MOD(TS_Per_1_Number+J12-1,TS_Pers_In_Yr)=0,TS_Pers_In_Yr,MOD(TS_Per_1_Number+J12-1,TS_Pers_In_Yr)))&amp;" "</f>
        <v>M1 </v>
      </c>
      <c r="K11" s="95" t="str">
        <f t="shared" si="5"/>
        <v>M2 </v>
      </c>
      <c r="L11" s="95" t="str">
        <f t="shared" si="5"/>
        <v>M3 </v>
      </c>
      <c r="M11" s="95" t="str">
        <f t="shared" si="5"/>
        <v>M4 </v>
      </c>
      <c r="N11" s="95" t="str">
        <f t="shared" si="5"/>
        <v>M5 </v>
      </c>
      <c r="O11" s="95" t="str">
        <f t="shared" si="5"/>
        <v>M6 </v>
      </c>
      <c r="P11" s="95" t="str">
        <f t="shared" si="5"/>
        <v>M7 </v>
      </c>
      <c r="Q11" s="95" t="str">
        <f t="shared" si="5"/>
        <v>M8 </v>
      </c>
      <c r="R11" s="95" t="str">
        <f t="shared" si="5"/>
        <v>M9 </v>
      </c>
      <c r="S11" s="95" t="str">
        <f t="shared" si="5"/>
        <v>M10 </v>
      </c>
    </row>
    <row r="12" spans="2:19" ht="10.5" hidden="1" outlineLevel="2">
      <c r="B12" s="91" t="s">
        <v>147</v>
      </c>
      <c r="J12" s="97">
        <f>COLUMN(J12)-COLUMN($J12)+1</f>
        <v>1</v>
      </c>
      <c r="K12" s="97">
        <f aca="true" t="shared" si="6" ref="K12:S12">COLUMN(K12)-COLUMN($J12)+1</f>
        <v>2</v>
      </c>
      <c r="L12" s="97">
        <f t="shared" si="6"/>
        <v>3</v>
      </c>
      <c r="M12" s="97">
        <f t="shared" si="6"/>
        <v>4</v>
      </c>
      <c r="N12" s="97">
        <f t="shared" si="6"/>
        <v>5</v>
      </c>
      <c r="O12" s="97">
        <f t="shared" si="6"/>
        <v>6</v>
      </c>
      <c r="P12" s="97">
        <f t="shared" si="6"/>
        <v>7</v>
      </c>
      <c r="Q12" s="97">
        <f t="shared" si="6"/>
        <v>8</v>
      </c>
      <c r="R12" s="97">
        <f t="shared" si="6"/>
        <v>9</v>
      </c>
      <c r="S12" s="97">
        <f t="shared" si="6"/>
        <v>10</v>
      </c>
    </row>
    <row r="13" spans="2:19" ht="10.5" hidden="1" outlineLevel="2">
      <c r="B13" s="101" t="s">
        <v>148</v>
      </c>
      <c r="C13" s="99"/>
      <c r="D13" s="99"/>
      <c r="E13" s="99"/>
      <c r="F13" s="99"/>
      <c r="G13" s="99"/>
      <c r="H13" s="99"/>
      <c r="I13" s="99"/>
      <c r="J13" s="102" t="str">
        <f>J10&amp;"-"&amp;J11</f>
        <v>2010-M1 </v>
      </c>
      <c r="K13" s="102" t="str">
        <f aca="true" t="shared" si="7" ref="K13:S13">K10&amp;"-"&amp;K11</f>
        <v>2010-M2 </v>
      </c>
      <c r="L13" s="102" t="str">
        <f t="shared" si="7"/>
        <v>2010-M3 </v>
      </c>
      <c r="M13" s="102" t="str">
        <f t="shared" si="7"/>
        <v>2010-M4 </v>
      </c>
      <c r="N13" s="102" t="str">
        <f t="shared" si="7"/>
        <v>2010-M5 </v>
      </c>
      <c r="O13" s="102" t="str">
        <f t="shared" si="7"/>
        <v>2010-M6 </v>
      </c>
      <c r="P13" s="102" t="str">
        <f t="shared" si="7"/>
        <v>2010-M7 </v>
      </c>
      <c r="Q13" s="102" t="str">
        <f t="shared" si="7"/>
        <v>2010-M8 </v>
      </c>
      <c r="R13" s="102" t="str">
        <f t="shared" si="7"/>
        <v>2010-M9 </v>
      </c>
      <c r="S13" s="102" t="str">
        <f t="shared" si="7"/>
        <v>2010-M10 </v>
      </c>
    </row>
    <row r="14" ht="10.5" collapsed="1"/>
    <row r="16" ht="12.75">
      <c r="B16" s="103" t="str">
        <f>Rev_Hist_TA!B16</f>
        <v>Revenue</v>
      </c>
    </row>
    <row r="18" spans="3:10" ht="10.5">
      <c r="C18" s="104" t="str">
        <f>Rev_Hist_TA!C18</f>
        <v>Category</v>
      </c>
      <c r="J18" s="106" t="str">
        <f>INDEX(LU_Denom,DD_TS_Denom)</f>
        <v>$Millions</v>
      </c>
    </row>
    <row r="19" spans="3:19" ht="10.5">
      <c r="C19" s="90" t="str">
        <f>Revenue_Category_1_Name</f>
        <v>Revenue Category 1 Name</v>
      </c>
      <c r="J19" s="96">
        <f>Rev_Hist_TO!J19+Rev_Fcast_TO!J19</f>
        <v>100</v>
      </c>
      <c r="K19" s="96">
        <f>Rev_Hist_TO!K19+Rev_Fcast_TO!K19</f>
        <v>101</v>
      </c>
      <c r="L19" s="96">
        <f>Rev_Hist_TO!L19+Rev_Fcast_TO!L19</f>
        <v>102</v>
      </c>
      <c r="M19" s="96">
        <f>Rev_Hist_TO!M19+Rev_Fcast_TO!M19</f>
        <v>103</v>
      </c>
      <c r="N19" s="96">
        <f>Rev_Hist_TO!N19+Rev_Fcast_TO!N19</f>
        <v>104</v>
      </c>
      <c r="O19" s="96">
        <f>Rev_Hist_TO!O19+Rev_Fcast_TO!O19</f>
        <v>105</v>
      </c>
      <c r="P19" s="96">
        <f>Rev_Hist_TO!P19+Rev_Fcast_TO!P19</f>
        <v>106</v>
      </c>
      <c r="Q19" s="96">
        <f>Rev_Hist_TO!Q19+Rev_Fcast_TO!Q19</f>
        <v>107</v>
      </c>
      <c r="R19" s="96">
        <f>Rev_Hist_TO!R19+Rev_Fcast_TO!R19</f>
        <v>108</v>
      </c>
      <c r="S19" s="96">
        <f>Rev_Hist_TO!S19+Rev_Fcast_TO!S19</f>
        <v>109</v>
      </c>
    </row>
    <row r="20" spans="3:19" ht="10.5">
      <c r="C20" s="90" t="str">
        <f>Revenue_Category_2_Name</f>
        <v>Revenue Category 2 Name</v>
      </c>
      <c r="J20" s="96">
        <f>Rev_Hist_TO!J20+Rev_Fcast_TO!J20</f>
        <v>101</v>
      </c>
      <c r="K20" s="96">
        <f>Rev_Hist_TO!K20+Rev_Fcast_TO!K20</f>
        <v>102</v>
      </c>
      <c r="L20" s="96">
        <f>Rev_Hist_TO!L20+Rev_Fcast_TO!L20</f>
        <v>103</v>
      </c>
      <c r="M20" s="96">
        <f>Rev_Hist_TO!M20+Rev_Fcast_TO!M20</f>
        <v>104</v>
      </c>
      <c r="N20" s="96">
        <f>Rev_Hist_TO!N20+Rev_Fcast_TO!N20</f>
        <v>105</v>
      </c>
      <c r="O20" s="96">
        <f>Rev_Hist_TO!O20+Rev_Fcast_TO!O20</f>
        <v>106</v>
      </c>
      <c r="P20" s="96">
        <f>Rev_Hist_TO!P20+Rev_Fcast_TO!P20</f>
        <v>107</v>
      </c>
      <c r="Q20" s="96">
        <f>Rev_Hist_TO!Q20+Rev_Fcast_TO!Q20</f>
        <v>108</v>
      </c>
      <c r="R20" s="96">
        <f>Rev_Hist_TO!R20+Rev_Fcast_TO!R20</f>
        <v>109</v>
      </c>
      <c r="S20" s="96">
        <f>Rev_Hist_TO!S20+Rev_Fcast_TO!S20</f>
        <v>110</v>
      </c>
    </row>
    <row r="21" spans="3:19" ht="10.5">
      <c r="C21" s="90" t="str">
        <f>Revenue_Category_3_Name</f>
        <v>Revenue Category 3 Name</v>
      </c>
      <c r="J21" s="96">
        <f>Rev_Hist_TO!J21+Rev_Fcast_TO!J21</f>
        <v>102</v>
      </c>
      <c r="K21" s="96">
        <f>Rev_Hist_TO!K21+Rev_Fcast_TO!K21</f>
        <v>103</v>
      </c>
      <c r="L21" s="96">
        <f>Rev_Hist_TO!L21+Rev_Fcast_TO!L21</f>
        <v>104</v>
      </c>
      <c r="M21" s="96">
        <f>Rev_Hist_TO!M21+Rev_Fcast_TO!M21</f>
        <v>105</v>
      </c>
      <c r="N21" s="96">
        <f>Rev_Hist_TO!N21+Rev_Fcast_TO!N21</f>
        <v>106</v>
      </c>
      <c r="O21" s="96">
        <f>Rev_Hist_TO!O21+Rev_Fcast_TO!O21</f>
        <v>107</v>
      </c>
      <c r="P21" s="96">
        <f>Rev_Hist_TO!P21+Rev_Fcast_TO!P21</f>
        <v>108</v>
      </c>
      <c r="Q21" s="96">
        <f>Rev_Hist_TO!Q21+Rev_Fcast_TO!Q21</f>
        <v>109</v>
      </c>
      <c r="R21" s="96">
        <f>Rev_Hist_TO!R21+Rev_Fcast_TO!R21</f>
        <v>110</v>
      </c>
      <c r="S21" s="96">
        <f>Rev_Hist_TO!S21+Rev_Fcast_TO!S21</f>
        <v>111</v>
      </c>
    </row>
    <row r="22" spans="3:19" ht="10.5">
      <c r="C22" s="90" t="str">
        <f>Revenue_Category_4_Name</f>
        <v>Revenue Category 4 Name</v>
      </c>
      <c r="J22" s="96">
        <f>Rev_Hist_TO!J22+Rev_Fcast_TO!J22</f>
        <v>103</v>
      </c>
      <c r="K22" s="96">
        <f>Rev_Hist_TO!K22+Rev_Fcast_TO!K22</f>
        <v>104</v>
      </c>
      <c r="L22" s="96">
        <f>Rev_Hist_TO!L22+Rev_Fcast_TO!L22</f>
        <v>105</v>
      </c>
      <c r="M22" s="96">
        <f>Rev_Hist_TO!M22+Rev_Fcast_TO!M22</f>
        <v>106</v>
      </c>
      <c r="N22" s="96">
        <f>Rev_Hist_TO!N22+Rev_Fcast_TO!N22</f>
        <v>107</v>
      </c>
      <c r="O22" s="96">
        <f>Rev_Hist_TO!O22+Rev_Fcast_TO!O22</f>
        <v>108</v>
      </c>
      <c r="P22" s="96">
        <f>Rev_Hist_TO!P22+Rev_Fcast_TO!P22</f>
        <v>109</v>
      </c>
      <c r="Q22" s="96">
        <f>Rev_Hist_TO!Q22+Rev_Fcast_TO!Q22</f>
        <v>110</v>
      </c>
      <c r="R22" s="96">
        <f>Rev_Hist_TO!R22+Rev_Fcast_TO!R22</f>
        <v>111</v>
      </c>
      <c r="S22" s="96">
        <f>Rev_Hist_TO!S22+Rev_Fcast_TO!S22</f>
        <v>112</v>
      </c>
    </row>
    <row r="23" spans="3:19" ht="10.5">
      <c r="C23" s="90" t="str">
        <f>Revenue_Category_5_Name</f>
        <v>Revenue Category 5 Name</v>
      </c>
      <c r="J23" s="96">
        <f>Rev_Hist_TO!J23+Rev_Fcast_TO!J23</f>
        <v>104</v>
      </c>
      <c r="K23" s="96">
        <f>Rev_Hist_TO!K23+Rev_Fcast_TO!K23</f>
        <v>105</v>
      </c>
      <c r="L23" s="96">
        <f>Rev_Hist_TO!L23+Rev_Fcast_TO!L23</f>
        <v>106</v>
      </c>
      <c r="M23" s="96">
        <f>Rev_Hist_TO!M23+Rev_Fcast_TO!M23</f>
        <v>107</v>
      </c>
      <c r="N23" s="96">
        <f>Rev_Hist_TO!N23+Rev_Fcast_TO!N23</f>
        <v>108</v>
      </c>
      <c r="O23" s="96">
        <f>Rev_Hist_TO!O23+Rev_Fcast_TO!O23</f>
        <v>109</v>
      </c>
      <c r="P23" s="96">
        <f>Rev_Hist_TO!P23+Rev_Fcast_TO!P23</f>
        <v>110</v>
      </c>
      <c r="Q23" s="96">
        <f>Rev_Hist_TO!Q23+Rev_Fcast_TO!Q23</f>
        <v>111</v>
      </c>
      <c r="R23" s="96">
        <f>Rev_Hist_TO!R23+Rev_Fcast_TO!R23</f>
        <v>112</v>
      </c>
      <c r="S23" s="96">
        <f>Rev_Hist_TO!S23+Rev_Fcast_TO!S23</f>
        <v>113</v>
      </c>
    </row>
    <row r="24" spans="3:19" ht="10.5">
      <c r="C24" s="90" t="str">
        <f>Revenue_Category_6_Name</f>
        <v>Revenue Category 6 Name</v>
      </c>
      <c r="J24" s="96">
        <f>Rev_Hist_TO!J24+Rev_Fcast_TO!J24</f>
        <v>105</v>
      </c>
      <c r="K24" s="96">
        <f>Rev_Hist_TO!K24+Rev_Fcast_TO!K24</f>
        <v>106</v>
      </c>
      <c r="L24" s="96">
        <f>Rev_Hist_TO!L24+Rev_Fcast_TO!L24</f>
        <v>107</v>
      </c>
      <c r="M24" s="96">
        <f>Rev_Hist_TO!M24+Rev_Fcast_TO!M24</f>
        <v>108</v>
      </c>
      <c r="N24" s="96">
        <f>Rev_Hist_TO!N24+Rev_Fcast_TO!N24</f>
        <v>109</v>
      </c>
      <c r="O24" s="96">
        <f>Rev_Hist_TO!O24+Rev_Fcast_TO!O24</f>
        <v>110</v>
      </c>
      <c r="P24" s="96">
        <f>Rev_Hist_TO!P24+Rev_Fcast_TO!P24</f>
        <v>111</v>
      </c>
      <c r="Q24" s="96">
        <f>Rev_Hist_TO!Q24+Rev_Fcast_TO!Q24</f>
        <v>112</v>
      </c>
      <c r="R24" s="96">
        <f>Rev_Hist_TO!R24+Rev_Fcast_TO!R24</f>
        <v>113</v>
      </c>
      <c r="S24" s="96">
        <f>Rev_Hist_TO!S24+Rev_Fcast_TO!S24</f>
        <v>114</v>
      </c>
    </row>
    <row r="25" spans="3:19" ht="10.5">
      <c r="C25" s="104" t="str">
        <f>Rev_Fcast_TA!C25</f>
        <v>Total Revenue</v>
      </c>
      <c r="J25" s="105">
        <f>SUM(J19:J24)</f>
        <v>615</v>
      </c>
      <c r="K25" s="105">
        <f aca="true" t="shared" si="8" ref="K25:S25">SUM(K19:K24)</f>
        <v>621</v>
      </c>
      <c r="L25" s="105">
        <f t="shared" si="8"/>
        <v>627</v>
      </c>
      <c r="M25" s="105">
        <f t="shared" si="8"/>
        <v>633</v>
      </c>
      <c r="N25" s="105">
        <f t="shared" si="8"/>
        <v>639</v>
      </c>
      <c r="O25" s="105">
        <f t="shared" si="8"/>
        <v>645</v>
      </c>
      <c r="P25" s="105">
        <f t="shared" si="8"/>
        <v>651</v>
      </c>
      <c r="Q25" s="105">
        <f t="shared" si="8"/>
        <v>657</v>
      </c>
      <c r="R25" s="105">
        <f t="shared" si="8"/>
        <v>663</v>
      </c>
      <c r="S25" s="105">
        <f t="shared" si="8"/>
        <v>669</v>
      </c>
    </row>
    <row r="27" ht="10.5">
      <c r="U27" s="104" t="s">
        <v>178</v>
      </c>
    </row>
    <row r="28" spans="2:19" ht="10.5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</row>
    <row r="29" spans="2:23" ht="10.5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V29" s="104" t="s">
        <v>179</v>
      </c>
      <c r="W29" s="104" t="s">
        <v>186</v>
      </c>
    </row>
    <row r="30" spans="2:19" ht="10.5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</row>
    <row r="31" spans="2:34" ht="10.5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V31" s="104" t="s">
        <v>180</v>
      </c>
      <c r="Y31" s="92" t="str">
        <f aca="true" t="shared" si="9" ref="Y31:AH31">IF(TS_Periodicity=Annual,J$7,J$6)</f>
        <v>Jan-10 </v>
      </c>
      <c r="Z31" s="92" t="str">
        <f t="shared" si="9"/>
        <v>Feb-10 </v>
      </c>
      <c r="AA31" s="92" t="str">
        <f t="shared" si="9"/>
        <v>Mar-10 </v>
      </c>
      <c r="AB31" s="92" t="str">
        <f t="shared" si="9"/>
        <v>Apr-10 </v>
      </c>
      <c r="AC31" s="92" t="str">
        <f t="shared" si="9"/>
        <v>May-10 </v>
      </c>
      <c r="AD31" s="92" t="str">
        <f t="shared" si="9"/>
        <v>Jun-10 </v>
      </c>
      <c r="AE31" s="92" t="str">
        <f t="shared" si="9"/>
        <v>Jul-10 </v>
      </c>
      <c r="AF31" s="92" t="str">
        <f t="shared" si="9"/>
        <v>Aug-10 </v>
      </c>
      <c r="AG31" s="92" t="str">
        <f t="shared" si="9"/>
        <v>Sep-10 </v>
      </c>
      <c r="AH31" s="92" t="str">
        <f t="shared" si="9"/>
        <v>Oct-10 </v>
      </c>
    </row>
    <row r="32" spans="2:34" ht="10.5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V32" s="90" t="str">
        <f>Revenue_Category_1_Name</f>
        <v>Revenue Category 1 Name</v>
      </c>
      <c r="Y32" s="113">
        <f aca="true" t="shared" si="10" ref="Y32:Y37">J19</f>
        <v>100</v>
      </c>
      <c r="Z32" s="113">
        <f aca="true" t="shared" si="11" ref="Z32:AH37">K19</f>
        <v>101</v>
      </c>
      <c r="AA32" s="113">
        <f t="shared" si="11"/>
        <v>102</v>
      </c>
      <c r="AB32" s="113">
        <f t="shared" si="11"/>
        <v>103</v>
      </c>
      <c r="AC32" s="113">
        <f t="shared" si="11"/>
        <v>104</v>
      </c>
      <c r="AD32" s="113">
        <f t="shared" si="11"/>
        <v>105</v>
      </c>
      <c r="AE32" s="113">
        <f t="shared" si="11"/>
        <v>106</v>
      </c>
      <c r="AF32" s="113">
        <f t="shared" si="11"/>
        <v>107</v>
      </c>
      <c r="AG32" s="113">
        <f t="shared" si="11"/>
        <v>108</v>
      </c>
      <c r="AH32" s="113">
        <f t="shared" si="11"/>
        <v>109</v>
      </c>
    </row>
    <row r="33" spans="2:34" ht="10.5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V33" s="90" t="str">
        <f>Revenue_Category_2_Name</f>
        <v>Revenue Category 2 Name</v>
      </c>
      <c r="Y33" s="113">
        <f t="shared" si="10"/>
        <v>101</v>
      </c>
      <c r="Z33" s="113">
        <f t="shared" si="11"/>
        <v>102</v>
      </c>
      <c r="AA33" s="113">
        <f t="shared" si="11"/>
        <v>103</v>
      </c>
      <c r="AB33" s="113">
        <f t="shared" si="11"/>
        <v>104</v>
      </c>
      <c r="AC33" s="113">
        <f t="shared" si="11"/>
        <v>105</v>
      </c>
      <c r="AD33" s="113">
        <f t="shared" si="11"/>
        <v>106</v>
      </c>
      <c r="AE33" s="113">
        <f t="shared" si="11"/>
        <v>107</v>
      </c>
      <c r="AF33" s="113">
        <f t="shared" si="11"/>
        <v>108</v>
      </c>
      <c r="AG33" s="113">
        <f t="shared" si="11"/>
        <v>109</v>
      </c>
      <c r="AH33" s="113">
        <f t="shared" si="11"/>
        <v>110</v>
      </c>
    </row>
    <row r="34" spans="2:34" ht="10.5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V34" s="90" t="str">
        <f>Revenue_Category_3_Name</f>
        <v>Revenue Category 3 Name</v>
      </c>
      <c r="Y34" s="113">
        <f t="shared" si="10"/>
        <v>102</v>
      </c>
      <c r="Z34" s="113">
        <f t="shared" si="11"/>
        <v>103</v>
      </c>
      <c r="AA34" s="113">
        <f t="shared" si="11"/>
        <v>104</v>
      </c>
      <c r="AB34" s="113">
        <f t="shared" si="11"/>
        <v>105</v>
      </c>
      <c r="AC34" s="113">
        <f t="shared" si="11"/>
        <v>106</v>
      </c>
      <c r="AD34" s="113">
        <f t="shared" si="11"/>
        <v>107</v>
      </c>
      <c r="AE34" s="113">
        <f t="shared" si="11"/>
        <v>108</v>
      </c>
      <c r="AF34" s="113">
        <f t="shared" si="11"/>
        <v>109</v>
      </c>
      <c r="AG34" s="113">
        <f t="shared" si="11"/>
        <v>110</v>
      </c>
      <c r="AH34" s="113">
        <f t="shared" si="11"/>
        <v>111</v>
      </c>
    </row>
    <row r="35" spans="2:34" ht="10.5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V35" s="90" t="str">
        <f>Revenue_Category_4_Name</f>
        <v>Revenue Category 4 Name</v>
      </c>
      <c r="Y35" s="113">
        <f t="shared" si="10"/>
        <v>103</v>
      </c>
      <c r="Z35" s="113">
        <f t="shared" si="11"/>
        <v>104</v>
      </c>
      <c r="AA35" s="113">
        <f t="shared" si="11"/>
        <v>105</v>
      </c>
      <c r="AB35" s="113">
        <f t="shared" si="11"/>
        <v>106</v>
      </c>
      <c r="AC35" s="113">
        <f t="shared" si="11"/>
        <v>107</v>
      </c>
      <c r="AD35" s="113">
        <f t="shared" si="11"/>
        <v>108</v>
      </c>
      <c r="AE35" s="113">
        <f t="shared" si="11"/>
        <v>109</v>
      </c>
      <c r="AF35" s="113">
        <f t="shared" si="11"/>
        <v>110</v>
      </c>
      <c r="AG35" s="113">
        <f t="shared" si="11"/>
        <v>111</v>
      </c>
      <c r="AH35" s="113">
        <f t="shared" si="11"/>
        <v>112</v>
      </c>
    </row>
    <row r="36" spans="2:34" ht="10.5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V36" s="90" t="str">
        <f>Revenue_Category_5_Name</f>
        <v>Revenue Category 5 Name</v>
      </c>
      <c r="Y36" s="113">
        <f t="shared" si="10"/>
        <v>104</v>
      </c>
      <c r="Z36" s="113">
        <f t="shared" si="11"/>
        <v>105</v>
      </c>
      <c r="AA36" s="113">
        <f t="shared" si="11"/>
        <v>106</v>
      </c>
      <c r="AB36" s="113">
        <f t="shared" si="11"/>
        <v>107</v>
      </c>
      <c r="AC36" s="113">
        <f t="shared" si="11"/>
        <v>108</v>
      </c>
      <c r="AD36" s="113">
        <f t="shared" si="11"/>
        <v>109</v>
      </c>
      <c r="AE36" s="113">
        <f t="shared" si="11"/>
        <v>110</v>
      </c>
      <c r="AF36" s="113">
        <f t="shared" si="11"/>
        <v>111</v>
      </c>
      <c r="AG36" s="113">
        <f t="shared" si="11"/>
        <v>112</v>
      </c>
      <c r="AH36" s="113">
        <f t="shared" si="11"/>
        <v>113</v>
      </c>
    </row>
    <row r="37" spans="2:34" ht="10.5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V37" s="90" t="str">
        <f>Revenue_Category_6_Name</f>
        <v>Revenue Category 6 Name</v>
      </c>
      <c r="Y37" s="113">
        <f t="shared" si="10"/>
        <v>105</v>
      </c>
      <c r="Z37" s="113">
        <f t="shared" si="11"/>
        <v>106</v>
      </c>
      <c r="AA37" s="113">
        <f t="shared" si="11"/>
        <v>107</v>
      </c>
      <c r="AB37" s="113">
        <f t="shared" si="11"/>
        <v>108</v>
      </c>
      <c r="AC37" s="113">
        <f t="shared" si="11"/>
        <v>109</v>
      </c>
      <c r="AD37" s="113">
        <f t="shared" si="11"/>
        <v>110</v>
      </c>
      <c r="AE37" s="113">
        <f t="shared" si="11"/>
        <v>111</v>
      </c>
      <c r="AF37" s="113">
        <f t="shared" si="11"/>
        <v>112</v>
      </c>
      <c r="AG37" s="113">
        <f t="shared" si="11"/>
        <v>113</v>
      </c>
      <c r="AH37" s="113">
        <f t="shared" si="11"/>
        <v>114</v>
      </c>
    </row>
    <row r="38" spans="2:19" ht="10.5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</row>
    <row r="39" spans="2:23" ht="10.5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V39" s="104" t="s">
        <v>181</v>
      </c>
      <c r="W39" s="104" t="s">
        <v>182</v>
      </c>
    </row>
    <row r="40" spans="2:19" ht="10.5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</row>
    <row r="41" spans="2:34" ht="10.5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V41" s="104" t="s">
        <v>180</v>
      </c>
      <c r="Y41" s="92" t="str">
        <f aca="true" t="shared" si="12" ref="Y41:AH41">IF(TS_Periodicity=Annual,J$7,J$6)</f>
        <v>Jan-10 </v>
      </c>
      <c r="Z41" s="92" t="str">
        <f t="shared" si="12"/>
        <v>Feb-10 </v>
      </c>
      <c r="AA41" s="92" t="str">
        <f t="shared" si="12"/>
        <v>Mar-10 </v>
      </c>
      <c r="AB41" s="92" t="str">
        <f t="shared" si="12"/>
        <v>Apr-10 </v>
      </c>
      <c r="AC41" s="92" t="str">
        <f t="shared" si="12"/>
        <v>May-10 </v>
      </c>
      <c r="AD41" s="92" t="str">
        <f t="shared" si="12"/>
        <v>Jun-10 </v>
      </c>
      <c r="AE41" s="92" t="str">
        <f t="shared" si="12"/>
        <v>Jul-10 </v>
      </c>
      <c r="AF41" s="92" t="str">
        <f t="shared" si="12"/>
        <v>Aug-10 </v>
      </c>
      <c r="AG41" s="92" t="str">
        <f t="shared" si="12"/>
        <v>Sep-10 </v>
      </c>
      <c r="AH41" s="92" t="str">
        <f t="shared" si="12"/>
        <v>Oct-10 </v>
      </c>
    </row>
    <row r="42" spans="2:34" ht="10.5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V42" s="83" t="s">
        <v>183</v>
      </c>
      <c r="Y42" s="113">
        <f>Rev_Hist_TO!J25</f>
        <v>615</v>
      </c>
      <c r="Z42" s="113">
        <f>Rev_Hist_TO!K25</f>
        <v>621</v>
      </c>
      <c r="AA42" s="113">
        <f>Rev_Hist_TO!L25</f>
        <v>627</v>
      </c>
      <c r="AB42" s="113">
        <f>Rev_Hist_TO!M25</f>
        <v>0</v>
      </c>
      <c r="AC42" s="113">
        <f>Rev_Hist_TO!N25</f>
        <v>0</v>
      </c>
      <c r="AD42" s="113">
        <f>Rev_Hist_TO!O25</f>
        <v>0</v>
      </c>
      <c r="AE42" s="113">
        <f>Rev_Hist_TO!P25</f>
        <v>0</v>
      </c>
      <c r="AF42" s="113">
        <f>Rev_Hist_TO!Q25</f>
        <v>0</v>
      </c>
      <c r="AG42" s="113">
        <f>Rev_Hist_TO!R25</f>
        <v>0</v>
      </c>
      <c r="AH42" s="113">
        <f>Rev_Hist_TO!S25</f>
        <v>0</v>
      </c>
    </row>
    <row r="43" spans="2:34" ht="10.5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V43" s="83" t="s">
        <v>184</v>
      </c>
      <c r="Y43" s="113">
        <f>Rev_Fcast_TO!J25</f>
        <v>0</v>
      </c>
      <c r="Z43" s="113">
        <f>Rev_Fcast_TO!K25</f>
        <v>0</v>
      </c>
      <c r="AA43" s="113">
        <f>Rev_Fcast_TO!L25</f>
        <v>0</v>
      </c>
      <c r="AB43" s="113">
        <f>Rev_Fcast_TO!M25</f>
        <v>633</v>
      </c>
      <c r="AC43" s="113">
        <f>Rev_Fcast_TO!N25</f>
        <v>639</v>
      </c>
      <c r="AD43" s="113">
        <f>Rev_Fcast_TO!O25</f>
        <v>645</v>
      </c>
      <c r="AE43" s="113">
        <f>Rev_Fcast_TO!P25</f>
        <v>651</v>
      </c>
      <c r="AF43" s="113">
        <f>Rev_Fcast_TO!Q25</f>
        <v>657</v>
      </c>
      <c r="AG43" s="113">
        <f>Rev_Fcast_TO!R25</f>
        <v>663</v>
      </c>
      <c r="AH43" s="113">
        <f>Rev_Fcast_TO!S25</f>
        <v>669</v>
      </c>
    </row>
    <row r="44" spans="2:19" ht="10.5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</row>
    <row r="45" spans="2:23" ht="10.5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V45" s="104" t="s">
        <v>185</v>
      </c>
      <c r="W45" s="104" t="str">
        <f>"Revenue Breakdown ("&amp;INDEX(LU_Revenue_Period,X47)&amp;")"</f>
        <v>Revenue Breakdown (Apr-10 )</v>
      </c>
    </row>
    <row r="46" spans="2:19" ht="10.5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</row>
    <row r="47" spans="2:24" ht="10.5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V47" s="104" t="s">
        <v>191</v>
      </c>
      <c r="X47" s="130">
        <v>4</v>
      </c>
    </row>
    <row r="48" spans="2:19" ht="10.5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</row>
    <row r="49" spans="2:25" ht="10.5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V49" s="90" t="str">
        <f>Revenue_Category_1_Name</f>
        <v>Revenue Category 1 Name</v>
      </c>
      <c r="Y49" s="96">
        <f aca="true" ca="1" t="shared" si="13" ref="Y49:Y54">OFFSET($J19,0,$X$47-1)</f>
        <v>103</v>
      </c>
    </row>
    <row r="50" spans="2:25" ht="10.5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V50" s="90" t="str">
        <f>Revenue_Category_2_Name</f>
        <v>Revenue Category 2 Name</v>
      </c>
      <c r="Y50" s="96">
        <f ca="1" t="shared" si="13"/>
        <v>104</v>
      </c>
    </row>
    <row r="51" spans="2:25" ht="10.5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V51" s="90" t="str">
        <f>Revenue_Category_3_Name</f>
        <v>Revenue Category 3 Name</v>
      </c>
      <c r="Y51" s="96">
        <f ca="1" t="shared" si="13"/>
        <v>105</v>
      </c>
    </row>
    <row r="52" spans="2:25" ht="10.5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V52" s="90" t="str">
        <f>Revenue_Category_4_Name</f>
        <v>Revenue Category 4 Name</v>
      </c>
      <c r="Y52" s="96">
        <f ca="1" t="shared" si="13"/>
        <v>106</v>
      </c>
    </row>
    <row r="53" spans="2:25" ht="10.5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V53" s="90" t="str">
        <f>Revenue_Category_5_Name</f>
        <v>Revenue Category 5 Name</v>
      </c>
      <c r="Y53" s="96">
        <f ca="1" t="shared" si="13"/>
        <v>107</v>
      </c>
    </row>
    <row r="54" spans="2:25" ht="10.5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V54" s="90" t="str">
        <f>Revenue_Category_6_Name</f>
        <v>Revenue Category 6 Name</v>
      </c>
      <c r="Y54" s="96">
        <f ca="1" t="shared" si="13"/>
        <v>108</v>
      </c>
    </row>
    <row r="55" spans="2:19" ht="10.5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</row>
  </sheetData>
  <sheetProtection sheet="1" objects="1" scenarios="1"/>
  <mergeCells count="1">
    <mergeCell ref="B3:F3"/>
  </mergeCells>
  <dataValidations count="1">
    <dataValidation type="whole" showErrorMessage="1" errorTitle="0 Cell Link" error="The value in a 0 cell link must be a whole number within the control's lookup range rows." sqref="X47">
      <formula1>1</formula1>
      <formula2>ROWS(LU_Revenue_Period)</formula2>
    </dataValidation>
  </dataValidations>
  <hyperlinks>
    <hyperlink ref="B3" location="HL_Home" tooltip="Go to Table of Contents" display="HL_Home"/>
    <hyperlink ref="A4" location="$B$14" tooltip="Go to Top of Sheet" display="$B$14"/>
    <hyperlink ref="B4" location="HL_Sheet_Main_7" tooltip="Go to Previous Sheet" display="HL_Sheet_Main_7"/>
    <hyperlink ref="C4" location="HL_Sheet_Main_8" tooltip="Go to Next Sheet" display="HL_Sheet_Main_8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300" verticalDpi="300" orientation="landscape" paperSize="9" r:id="rId3"/>
  <headerFooter alignWithMargins="0">
    <oddFooter>&amp;L&amp;"Bold"&amp;7&amp;F
&amp;A
Printed: &amp;T on &amp;D&amp;C&amp;"Bold"&amp;10Page &amp;P of &amp;N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15</v>
      </c>
    </row>
    <row r="10" ht="16.5">
      <c r="C10" s="9" t="s">
        <v>153</v>
      </c>
    </row>
    <row r="11" ht="15">
      <c r="C11" s="4" t="str">
        <f>Model_Name</f>
        <v>SMA 14. Security &amp; Protection - Best Practice Model Example</v>
      </c>
    </row>
    <row r="12" spans="3:7" ht="10.5">
      <c r="C12" s="133" t="s">
        <v>1</v>
      </c>
      <c r="D12" s="133"/>
      <c r="E12" s="133"/>
      <c r="F12" s="133"/>
      <c r="G12" s="133"/>
    </row>
    <row r="13" spans="3:4" ht="12.75">
      <c r="C13" s="7" t="s">
        <v>10</v>
      </c>
      <c r="D13" s="8" t="s">
        <v>11</v>
      </c>
    </row>
    <row r="17" ht="10.5">
      <c r="C17" s="2" t="s">
        <v>6</v>
      </c>
    </row>
    <row r="18" ht="10.5">
      <c r="C18" s="3" t="s">
        <v>7</v>
      </c>
    </row>
    <row r="19" ht="10.5">
      <c r="C19" s="3" t="s">
        <v>8</v>
      </c>
    </row>
    <row r="20" ht="10.5">
      <c r="C20" s="3" t="s">
        <v>9</v>
      </c>
    </row>
  </sheetData>
  <sheetProtection sheet="1" objects="1" scenarios="1"/>
  <mergeCells count="1">
    <mergeCell ref="C12:G12"/>
  </mergeCells>
  <hyperlinks>
    <hyperlink ref="C12" location="HL_Home" tooltip="Go to Table of Contents" display="HL_Home"/>
    <hyperlink ref="C13" location="HL_Sheet_Main_16" tooltip="Go to Previous Sheet" display="HL_Sheet_Main_16"/>
    <hyperlink ref="D13" location="HL_Sheet_Main_9" tooltip="Go to Next Sheet" display="HL_Sheet_Main_9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1"/>
  <headerFooter alignWithMargins="0">
    <oddFooter>&amp;L&amp;"Bold"&amp;7&amp;F
&amp;A
Printed: &amp;T on &amp;D&amp;C&amp;"Bold"&amp;10Page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20</v>
      </c>
    </row>
    <row r="10" ht="16.5">
      <c r="C10" s="9" t="s">
        <v>154</v>
      </c>
    </row>
    <row r="11" ht="15">
      <c r="C11" s="4" t="str">
        <f>Model_Name</f>
        <v>SMA 14. Security &amp; Protection - Best Practice Model Example</v>
      </c>
    </row>
    <row r="12" spans="3:7" ht="10.5">
      <c r="C12" s="133" t="s">
        <v>1</v>
      </c>
      <c r="D12" s="133"/>
      <c r="E12" s="133"/>
      <c r="F12" s="133"/>
      <c r="G12" s="133"/>
    </row>
    <row r="13" spans="3:4" ht="12.75">
      <c r="C13" s="7" t="s">
        <v>10</v>
      </c>
      <c r="D13" s="8" t="s">
        <v>11</v>
      </c>
    </row>
    <row r="17" ht="10.5">
      <c r="C17" s="2" t="s">
        <v>16</v>
      </c>
    </row>
    <row r="18" ht="10.5">
      <c r="C18" s="3" t="s">
        <v>17</v>
      </c>
    </row>
    <row r="19" ht="10.5">
      <c r="C19" s="3" t="s">
        <v>18</v>
      </c>
    </row>
    <row r="20" ht="10.5">
      <c r="C20" s="3" t="s">
        <v>19</v>
      </c>
    </row>
  </sheetData>
  <sheetProtection sheet="1" objects="1" scenarios="1"/>
  <mergeCells count="1">
    <mergeCell ref="C12:G12"/>
  </mergeCells>
  <hyperlinks>
    <hyperlink ref="C12" location="HL_Home" tooltip="Go to Table of Contents" display="HL_Home"/>
    <hyperlink ref="C13" location="HL_Sheet_Main_8" tooltip="Go to Previous Sheet" display="HL_Sheet_Main_8"/>
    <hyperlink ref="D13" location="HL_Sheet_Main_10" tooltip="Go to Next Sheet" display="HL_Sheet_Main_10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1"/>
  <headerFooter alignWithMargins="0">
    <oddFooter>&amp;L&amp;"Bold"&amp;7&amp;F
&amp;A
Printed: &amp;T on &amp;D&amp;C&amp;"Bold"&amp;10Page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5"/>
  <sheetViews>
    <sheetView showGridLines="0" zoomScalePageLayoutView="0" workbookViewId="0" topLeftCell="A1">
      <pane xSplit="1" ySplit="4" topLeftCell="B5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/>
  <cols>
    <col min="1" max="3" width="3.83203125" style="0" customWidth="1"/>
    <col min="4" max="4" width="35.83203125" style="0" customWidth="1"/>
    <col min="5" max="5" width="3.83203125" style="0" customWidth="1"/>
    <col min="6" max="6" width="35.83203125" style="0" customWidth="1"/>
    <col min="7" max="7" width="3.83203125" style="0" customWidth="1"/>
  </cols>
  <sheetData>
    <row r="1" ht="18">
      <c r="B1" s="1" t="s">
        <v>22</v>
      </c>
    </row>
    <row r="2" ht="15">
      <c r="B2" s="4" t="str">
        <f>Model_Name</f>
        <v>SMA 14. Security &amp; Protection - Best Practice Model Example</v>
      </c>
    </row>
    <row r="3" spans="2:4" ht="10.5">
      <c r="B3" s="133" t="s">
        <v>1</v>
      </c>
      <c r="C3" s="133"/>
      <c r="D3" s="133"/>
    </row>
    <row r="4" spans="1:3" ht="12.75">
      <c r="A4" s="5" t="s">
        <v>4</v>
      </c>
      <c r="B4" s="7" t="s">
        <v>10</v>
      </c>
      <c r="C4" s="8" t="s">
        <v>11</v>
      </c>
    </row>
    <row r="5" ht="10.5"/>
    <row r="7" ht="12.75">
      <c r="B7" s="6" t="s">
        <v>22</v>
      </c>
    </row>
    <row r="9" spans="3:6" ht="11.25">
      <c r="C9" s="16" t="s">
        <v>24</v>
      </c>
      <c r="F9" s="16" t="s">
        <v>21</v>
      </c>
    </row>
    <row r="11" spans="4:6" ht="10.5">
      <c r="D11" s="17" t="s">
        <v>24</v>
      </c>
      <c r="F11" s="3" t="s">
        <v>25</v>
      </c>
    </row>
    <row r="12" ht="10.5">
      <c r="D12" s="19">
        <v>1</v>
      </c>
    </row>
    <row r="13" ht="10.5">
      <c r="D13" s="20">
        <f aca="true" t="shared" si="0" ref="D13:D42">D12+1</f>
        <v>2</v>
      </c>
    </row>
    <row r="14" ht="10.5">
      <c r="D14" s="20">
        <f t="shared" si="0"/>
        <v>3</v>
      </c>
    </row>
    <row r="15" ht="10.5">
      <c r="D15" s="20">
        <f t="shared" si="0"/>
        <v>4</v>
      </c>
    </row>
    <row r="16" ht="10.5">
      <c r="D16" s="20">
        <f t="shared" si="0"/>
        <v>5</v>
      </c>
    </row>
    <row r="17" ht="10.5">
      <c r="D17" s="20">
        <f t="shared" si="0"/>
        <v>6</v>
      </c>
    </row>
    <row r="18" ht="10.5">
      <c r="D18" s="20">
        <f t="shared" si="0"/>
        <v>7</v>
      </c>
    </row>
    <row r="19" ht="10.5">
      <c r="D19" s="20">
        <f t="shared" si="0"/>
        <v>8</v>
      </c>
    </row>
    <row r="20" ht="10.5">
      <c r="D20" s="20">
        <f t="shared" si="0"/>
        <v>9</v>
      </c>
    </row>
    <row r="21" ht="10.5">
      <c r="D21" s="20">
        <f t="shared" si="0"/>
        <v>10</v>
      </c>
    </row>
    <row r="22" ht="10.5">
      <c r="D22" s="20">
        <f t="shared" si="0"/>
        <v>11</v>
      </c>
    </row>
    <row r="23" ht="10.5">
      <c r="D23" s="20">
        <f t="shared" si="0"/>
        <v>12</v>
      </c>
    </row>
    <row r="24" ht="10.5">
      <c r="D24" s="20">
        <f t="shared" si="0"/>
        <v>13</v>
      </c>
    </row>
    <row r="25" ht="10.5">
      <c r="D25" s="20">
        <f t="shared" si="0"/>
        <v>14</v>
      </c>
    </row>
    <row r="26" ht="10.5">
      <c r="D26" s="20">
        <f t="shared" si="0"/>
        <v>15</v>
      </c>
    </row>
    <row r="27" ht="10.5">
      <c r="D27" s="20">
        <f t="shared" si="0"/>
        <v>16</v>
      </c>
    </row>
    <row r="28" ht="10.5">
      <c r="D28" s="20">
        <f t="shared" si="0"/>
        <v>17</v>
      </c>
    </row>
    <row r="29" ht="10.5">
      <c r="D29" s="20">
        <f t="shared" si="0"/>
        <v>18</v>
      </c>
    </row>
    <row r="30" ht="10.5">
      <c r="D30" s="20">
        <f t="shared" si="0"/>
        <v>19</v>
      </c>
    </row>
    <row r="31" ht="10.5">
      <c r="D31" s="20">
        <f t="shared" si="0"/>
        <v>20</v>
      </c>
    </row>
    <row r="32" ht="10.5">
      <c r="D32" s="20">
        <f t="shared" si="0"/>
        <v>21</v>
      </c>
    </row>
    <row r="33" ht="10.5">
      <c r="D33" s="20">
        <f t="shared" si="0"/>
        <v>22</v>
      </c>
    </row>
    <row r="34" ht="10.5">
      <c r="D34" s="20">
        <f t="shared" si="0"/>
        <v>23</v>
      </c>
    </row>
    <row r="35" ht="10.5">
      <c r="D35" s="20">
        <f t="shared" si="0"/>
        <v>24</v>
      </c>
    </row>
    <row r="36" ht="10.5">
      <c r="D36" s="20">
        <f t="shared" si="0"/>
        <v>25</v>
      </c>
    </row>
    <row r="37" ht="10.5">
      <c r="D37" s="20">
        <f t="shared" si="0"/>
        <v>26</v>
      </c>
    </row>
    <row r="38" ht="10.5">
      <c r="D38" s="20">
        <f t="shared" si="0"/>
        <v>27</v>
      </c>
    </row>
    <row r="39" ht="10.5">
      <c r="D39" s="20">
        <f t="shared" si="0"/>
        <v>28</v>
      </c>
    </row>
    <row r="40" ht="10.5">
      <c r="D40" s="20">
        <f t="shared" si="0"/>
        <v>29</v>
      </c>
    </row>
    <row r="41" ht="10.5">
      <c r="D41" s="20">
        <f t="shared" si="0"/>
        <v>30</v>
      </c>
    </row>
    <row r="42" ht="10.5">
      <c r="D42" s="20">
        <f t="shared" si="0"/>
        <v>31</v>
      </c>
    </row>
    <row r="44" spans="3:6" ht="11.25">
      <c r="C44" s="16" t="s">
        <v>26</v>
      </c>
      <c r="F44" s="16" t="s">
        <v>21</v>
      </c>
    </row>
    <row r="46" spans="4:6" ht="10.5">
      <c r="D46" s="17" t="s">
        <v>26</v>
      </c>
      <c r="F46" s="3" t="s">
        <v>27</v>
      </c>
    </row>
    <row r="47" ht="10.5">
      <c r="D47" s="18" t="s">
        <v>28</v>
      </c>
    </row>
    <row r="48" ht="10.5">
      <c r="D48" s="18" t="s">
        <v>29</v>
      </c>
    </row>
    <row r="49" ht="10.5">
      <c r="D49" s="18" t="s">
        <v>30</v>
      </c>
    </row>
    <row r="50" ht="10.5">
      <c r="D50" s="18" t="s">
        <v>31</v>
      </c>
    </row>
    <row r="51" ht="10.5">
      <c r="D51" s="18" t="s">
        <v>32</v>
      </c>
    </row>
    <row r="52" ht="10.5">
      <c r="D52" s="18" t="s">
        <v>33</v>
      </c>
    </row>
    <row r="53" ht="10.5">
      <c r="D53" s="18" t="s">
        <v>34</v>
      </c>
    </row>
    <row r="54" ht="10.5">
      <c r="D54" s="18" t="s">
        <v>35</v>
      </c>
    </row>
    <row r="55" ht="10.5">
      <c r="D55" s="18" t="s">
        <v>36</v>
      </c>
    </row>
    <row r="56" ht="10.5">
      <c r="D56" s="18" t="s">
        <v>37</v>
      </c>
    </row>
    <row r="57" ht="10.5">
      <c r="D57" s="18" t="s">
        <v>38</v>
      </c>
    </row>
    <row r="58" ht="10.5">
      <c r="D58" s="18" t="s">
        <v>39</v>
      </c>
    </row>
    <row r="60" spans="3:6" ht="11.25">
      <c r="C60" s="16" t="s">
        <v>40</v>
      </c>
      <c r="F60" s="16" t="s">
        <v>21</v>
      </c>
    </row>
    <row r="62" spans="4:6" ht="10.5">
      <c r="D62" s="17" t="s">
        <v>40</v>
      </c>
      <c r="F62" s="3" t="s">
        <v>41</v>
      </c>
    </row>
    <row r="63" spans="4:6" ht="10.5">
      <c r="D63" s="18" t="s">
        <v>42</v>
      </c>
      <c r="F63" s="3" t="s">
        <v>43</v>
      </c>
    </row>
    <row r="64" spans="4:6" ht="10.5">
      <c r="D64" s="18" t="s">
        <v>44</v>
      </c>
      <c r="F64" s="3" t="s">
        <v>45</v>
      </c>
    </row>
    <row r="65" spans="4:6" ht="10.5">
      <c r="D65" s="18" t="s">
        <v>46</v>
      </c>
      <c r="F65" s="3" t="s">
        <v>47</v>
      </c>
    </row>
    <row r="66" spans="4:6" ht="10.5">
      <c r="D66" s="18" t="s">
        <v>48</v>
      </c>
      <c r="F66" s="3" t="s">
        <v>49</v>
      </c>
    </row>
    <row r="68" spans="3:6" ht="11.25">
      <c r="C68" s="16" t="s">
        <v>50</v>
      </c>
      <c r="F68" s="16" t="s">
        <v>21</v>
      </c>
    </row>
    <row r="70" spans="4:6" ht="10.5">
      <c r="D70" s="17" t="s">
        <v>50</v>
      </c>
      <c r="F70" s="3" t="s">
        <v>51</v>
      </c>
    </row>
    <row r="71" ht="10.5">
      <c r="D71" s="18" t="s">
        <v>52</v>
      </c>
    </row>
    <row r="72" ht="10.5">
      <c r="D72" s="18" t="s">
        <v>53</v>
      </c>
    </row>
    <row r="74" spans="3:6" ht="11.25">
      <c r="C74" s="16" t="s">
        <v>54</v>
      </c>
      <c r="F74" s="16" t="s">
        <v>21</v>
      </c>
    </row>
    <row r="76" spans="4:6" ht="10.5">
      <c r="D76" s="17" t="s">
        <v>54</v>
      </c>
      <c r="F76" s="3" t="s">
        <v>55</v>
      </c>
    </row>
    <row r="77" spans="4:6" ht="10.5">
      <c r="D77" s="18" t="s">
        <v>56</v>
      </c>
      <c r="F77" s="3" t="s">
        <v>56</v>
      </c>
    </row>
    <row r="78" spans="4:6" ht="10.5">
      <c r="D78" s="18" t="s">
        <v>57</v>
      </c>
      <c r="F78" s="3" t="s">
        <v>58</v>
      </c>
    </row>
    <row r="79" spans="4:6" ht="10.5">
      <c r="D79" s="18" t="s">
        <v>59</v>
      </c>
      <c r="F79" s="3" t="s">
        <v>60</v>
      </c>
    </row>
    <row r="80" spans="4:6" ht="10.5">
      <c r="D80" s="18" t="s">
        <v>61</v>
      </c>
      <c r="F80" s="3" t="s">
        <v>62</v>
      </c>
    </row>
    <row r="82" spans="3:6" ht="11.25">
      <c r="C82" s="16" t="s">
        <v>63</v>
      </c>
      <c r="F82" s="16" t="s">
        <v>21</v>
      </c>
    </row>
    <row r="84" spans="4:6" ht="10.5">
      <c r="D84" s="17" t="s">
        <v>63</v>
      </c>
      <c r="F84" s="3" t="s">
        <v>64</v>
      </c>
    </row>
    <row r="85" spans="4:6" ht="10.5">
      <c r="D85" s="18" t="s">
        <v>65</v>
      </c>
      <c r="F85" s="3" t="s">
        <v>66</v>
      </c>
    </row>
    <row r="86" spans="4:6" ht="10.5">
      <c r="D86" s="18" t="s">
        <v>67</v>
      </c>
      <c r="F86" s="3" t="s">
        <v>68</v>
      </c>
    </row>
    <row r="87" spans="4:6" ht="10.5">
      <c r="D87" s="18" t="s">
        <v>69</v>
      </c>
      <c r="F87" s="3" t="s">
        <v>70</v>
      </c>
    </row>
    <row r="88" spans="4:6" ht="10.5">
      <c r="D88" s="18" t="s">
        <v>71</v>
      </c>
      <c r="F88" s="3" t="s">
        <v>72</v>
      </c>
    </row>
    <row r="90" spans="3:6" ht="11.25">
      <c r="C90" s="16" t="s">
        <v>73</v>
      </c>
      <c r="F90" s="16" t="s">
        <v>21</v>
      </c>
    </row>
    <row r="92" spans="4:6" ht="10.5">
      <c r="D92" s="17" t="s">
        <v>73</v>
      </c>
      <c r="F92" s="3" t="s">
        <v>74</v>
      </c>
    </row>
    <row r="93" spans="4:6" ht="10.5">
      <c r="D93" s="19">
        <v>1</v>
      </c>
      <c r="F93" s="3" t="s">
        <v>75</v>
      </c>
    </row>
    <row r="94" spans="4:6" ht="10.5">
      <c r="D94" s="19">
        <v>2</v>
      </c>
      <c r="F94" s="3" t="s">
        <v>76</v>
      </c>
    </row>
    <row r="95" spans="4:6" ht="10.5">
      <c r="D95" s="19">
        <v>4</v>
      </c>
      <c r="F95" s="3" t="s">
        <v>77</v>
      </c>
    </row>
    <row r="96" spans="4:6" ht="10.5">
      <c r="D96" s="19">
        <v>12</v>
      </c>
      <c r="F96" s="3" t="s">
        <v>78</v>
      </c>
    </row>
    <row r="98" spans="3:6" ht="11.25">
      <c r="C98" s="16" t="s">
        <v>79</v>
      </c>
      <c r="F98" s="16" t="s">
        <v>21</v>
      </c>
    </row>
    <row r="100" ht="10.5">
      <c r="D100" s="17" t="s">
        <v>79</v>
      </c>
    </row>
    <row r="101" spans="4:6" ht="10.5">
      <c r="D101" s="19">
        <v>10</v>
      </c>
      <c r="F101" s="3" t="s">
        <v>80</v>
      </c>
    </row>
    <row r="102" spans="4:6" ht="10.5">
      <c r="D102" s="19">
        <v>100</v>
      </c>
      <c r="F102" s="3" t="s">
        <v>81</v>
      </c>
    </row>
    <row r="103" spans="4:6" ht="10.5">
      <c r="D103" s="19">
        <v>1000</v>
      </c>
      <c r="F103" s="3" t="s">
        <v>82</v>
      </c>
    </row>
    <row r="104" spans="4:6" ht="10.5">
      <c r="D104" s="19">
        <v>1000000</v>
      </c>
      <c r="F104" s="3" t="s">
        <v>83</v>
      </c>
    </row>
    <row r="105" spans="4:6" ht="10.5">
      <c r="D105" s="19">
        <v>1000000000</v>
      </c>
      <c r="F105" s="3" t="s">
        <v>84</v>
      </c>
    </row>
  </sheetData>
  <sheetProtection sheet="1" objects="1" scenarios="1"/>
  <mergeCells count="1">
    <mergeCell ref="B3:D3"/>
  </mergeCells>
  <hyperlinks>
    <hyperlink ref="B3" location="HL_Home" tooltip="Go to Table of Contents" display="HL_Home"/>
    <hyperlink ref="A4" location="$B$5" tooltip="Go to Top of Sheet" display="$B$5"/>
    <hyperlink ref="B4" location="HL_Sheet_Main_9" tooltip="Go to Previous Sheet" display="HL_Sheet_Main_9"/>
    <hyperlink ref="C4" location="HL_Sheet_Main_17" tooltip="Go to Next Sheet" display="HL_Sheet_Main_17"/>
  </hyperlinks>
  <printOptions/>
  <pageMargins left="0.3937007874015748" right="0.3937007874015748" top="0.5905511811023623" bottom="0.984251968503937" header="0" footer="0.31496062992125984"/>
  <pageSetup horizontalDpi="300" verticalDpi="300" orientation="landscape" paperSize="9" r:id="rId1"/>
  <headerFooter alignWithMargins="0">
    <oddFooter>&amp;L&amp;"Bold"&amp;7&amp;F
&amp;A
Printed: &amp;T on &amp;D&amp;C&amp;"Bold"&amp;10Page &amp;P of &amp;N</oddFooter>
  </headerFooter>
  <rowBreaks count="1" manualBreakCount="1">
    <brk id="73" min="1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pane xSplit="1" ySplit="4" topLeftCell="B5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/>
  <cols>
    <col min="1" max="3" width="3.83203125" style="0" customWidth="1"/>
    <col min="4" max="4" width="35.83203125" style="0" customWidth="1"/>
    <col min="5" max="5" width="3.83203125" style="0" customWidth="1"/>
    <col min="6" max="6" width="35.83203125" style="0" customWidth="1"/>
    <col min="7" max="7" width="3.83203125" style="0" customWidth="1"/>
  </cols>
  <sheetData>
    <row r="1" ht="18">
      <c r="B1" s="1" t="s">
        <v>187</v>
      </c>
    </row>
    <row r="2" ht="15">
      <c r="B2" s="4" t="str">
        <f>Model_Name</f>
        <v>SMA 14. Security &amp; Protection - Best Practice Model Example</v>
      </c>
    </row>
    <row r="3" spans="2:4" ht="10.5">
      <c r="B3" s="133" t="s">
        <v>1</v>
      </c>
      <c r="C3" s="133"/>
      <c r="D3" s="133"/>
    </row>
    <row r="4" spans="1:3" ht="12.75">
      <c r="A4" s="5" t="s">
        <v>4</v>
      </c>
      <c r="B4" s="7" t="s">
        <v>10</v>
      </c>
      <c r="C4" s="8" t="s">
        <v>11</v>
      </c>
    </row>
    <row r="5" ht="10.5"/>
    <row r="7" ht="12.75">
      <c r="B7" s="6" t="s">
        <v>188</v>
      </c>
    </row>
    <row r="9" spans="3:6" ht="11.25">
      <c r="C9" s="110" t="str">
        <f>B7</f>
        <v>Period Lookup</v>
      </c>
      <c r="F9" s="16" t="s">
        <v>21</v>
      </c>
    </row>
    <row r="11" spans="4:6" ht="10.5">
      <c r="D11" s="17" t="s">
        <v>189</v>
      </c>
      <c r="F11" s="3" t="s">
        <v>190</v>
      </c>
    </row>
    <row r="12" spans="4:6" ht="10.5">
      <c r="D12" s="111" t="str">
        <f>IF(TS_Periodicity=Annual,Revenue_TO!J$7,Revenue_TO!J$6)</f>
        <v>Jan-10 </v>
      </c>
      <c r="F12" s="3"/>
    </row>
    <row r="13" spans="4:6" ht="10.5">
      <c r="D13" s="111" t="str">
        <f>IF(TS_Periodicity=Annual,Revenue_TO!K$7,Revenue_TO!K$6)</f>
        <v>Feb-10 </v>
      </c>
      <c r="F13" s="3"/>
    </row>
    <row r="14" spans="4:6" ht="10.5">
      <c r="D14" s="111" t="str">
        <f>IF(TS_Periodicity=Annual,Revenue_TO!L$7,Revenue_TO!L$6)</f>
        <v>Mar-10 </v>
      </c>
      <c r="F14" s="3"/>
    </row>
    <row r="15" spans="4:6" ht="10.5">
      <c r="D15" s="111" t="str">
        <f>IF(TS_Periodicity=Annual,Revenue_TO!M$7,Revenue_TO!M$6)</f>
        <v>Apr-10 </v>
      </c>
      <c r="F15" s="3"/>
    </row>
    <row r="16" spans="4:6" ht="10.5">
      <c r="D16" s="111" t="str">
        <f>IF(TS_Periodicity=Annual,Revenue_TO!N$7,Revenue_TO!N$6)</f>
        <v>May-10 </v>
      </c>
      <c r="F16" s="3"/>
    </row>
    <row r="17" spans="4:6" ht="10.5">
      <c r="D17" s="111" t="str">
        <f>IF(TS_Periodicity=Annual,Revenue_TO!O$7,Revenue_TO!O$6)</f>
        <v>Jun-10 </v>
      </c>
      <c r="F17" s="3"/>
    </row>
    <row r="18" spans="4:6" ht="10.5">
      <c r="D18" s="111" t="str">
        <f>IF(TS_Periodicity=Annual,Revenue_TO!P$7,Revenue_TO!P$6)</f>
        <v>Jul-10 </v>
      </c>
      <c r="F18" s="3"/>
    </row>
    <row r="19" spans="4:6" ht="10.5">
      <c r="D19" s="111" t="str">
        <f>IF(TS_Periodicity=Annual,Revenue_TO!Q$7,Revenue_TO!Q$6)</f>
        <v>Aug-10 </v>
      </c>
      <c r="F19" s="3"/>
    </row>
    <row r="20" spans="4:6" ht="10.5">
      <c r="D20" s="111" t="str">
        <f>IF(TS_Periodicity=Annual,Revenue_TO!R$7,Revenue_TO!R$6)</f>
        <v>Sep-10 </v>
      </c>
      <c r="F20" s="3"/>
    </row>
    <row r="21" spans="4:6" ht="10.5">
      <c r="D21" s="111" t="str">
        <f>IF(TS_Periodicity=Annual,Revenue_TO!S$7,Revenue_TO!S$6)</f>
        <v>Oct-10 </v>
      </c>
      <c r="F21" s="3"/>
    </row>
  </sheetData>
  <sheetProtection sheet="1" objects="1" scenarios="1"/>
  <mergeCells count="1">
    <mergeCell ref="B3:D3"/>
  </mergeCells>
  <hyperlinks>
    <hyperlink ref="B3" location="HL_Home" tooltip="Go to Table of Contents" display="HL_Home"/>
    <hyperlink ref="A4" location="$B$5" tooltip="Go to Top of Sheet" display="$B$5"/>
    <hyperlink ref="B4" location="HL_Sheet_Main_10" tooltip="Go to Previous Sheet" display="HL_Sheet_Main_10"/>
    <hyperlink ref="C4" location="HL_Sheet_Main_11" tooltip="Go to Next Sheet" display="HL_Sheet_Main_11"/>
  </hyperlinks>
  <printOptions/>
  <pageMargins left="0.393700787401575" right="0.393700787401575" top="0.590551181102362" bottom="0.984251968503937" header="0" footer="0.31496062992126"/>
  <pageSetup horizontalDpi="300" verticalDpi="300" orientation="landscape" paperSize="9" r:id="rId1"/>
  <headerFooter alignWithMargins="0">
    <oddFooter>&amp;L&amp;"Bold"&amp;7&amp;F
&amp;A
Printed: &amp;T on &amp;D&amp;C&amp;"Bold"&amp;10Page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23</v>
      </c>
    </row>
    <row r="10" ht="16.5">
      <c r="C10" s="9" t="s">
        <v>156</v>
      </c>
    </row>
    <row r="11" ht="15">
      <c r="C11" s="4" t="str">
        <f>Model_Name</f>
        <v>SMA 14. Security &amp; Protection - Best Practice Model Example</v>
      </c>
    </row>
    <row r="12" spans="3:7" ht="10.5">
      <c r="C12" s="133" t="s">
        <v>1</v>
      </c>
      <c r="D12" s="133"/>
      <c r="E12" s="133"/>
      <c r="F12" s="133"/>
      <c r="G12" s="133"/>
    </row>
    <row r="13" spans="3:4" ht="12.75">
      <c r="C13" s="7" t="s">
        <v>10</v>
      </c>
      <c r="D13" s="8" t="s">
        <v>11</v>
      </c>
    </row>
    <row r="17" ht="10.5">
      <c r="C17" s="2" t="s">
        <v>16</v>
      </c>
    </row>
    <row r="18" ht="10.5">
      <c r="C18" s="3" t="s">
        <v>17</v>
      </c>
    </row>
    <row r="19" ht="10.5">
      <c r="C19" s="3" t="s">
        <v>18</v>
      </c>
    </row>
    <row r="20" ht="10.5">
      <c r="C20" s="3" t="s">
        <v>19</v>
      </c>
    </row>
  </sheetData>
  <sheetProtection sheet="1" objects="1" scenarios="1"/>
  <mergeCells count="1">
    <mergeCell ref="C12:G12"/>
  </mergeCells>
  <hyperlinks>
    <hyperlink ref="C12" location="HL_Home" tooltip="Go to Table of Contents" display="HL_Home"/>
    <hyperlink ref="C13" location="HL_Sheet_Main_17" tooltip="Go to Previous Sheet" display="HL_Sheet_Main_17"/>
    <hyperlink ref="D13" location="HL_Sheet_Main_12" tooltip="Go to Next Sheet" display="HL_Sheet_Main_12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1"/>
  <headerFooter alignWithMargins="0">
    <oddFooter>&amp;L&amp;"Bold"&amp;7&amp;F
&amp;A
Printed: &amp;T on &amp;D&amp;C&amp;"Bold"&amp;10Page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56"/>
  <sheetViews>
    <sheetView showGridLines="0" zoomScalePageLayoutView="0" workbookViewId="0" topLeftCell="A1">
      <pane xSplit="1" ySplit="4" topLeftCell="B5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/>
  <cols>
    <col min="1" max="5" width="3.83203125" style="0" customWidth="1"/>
  </cols>
  <sheetData>
    <row r="1" ht="18">
      <c r="B1" s="1" t="s">
        <v>23</v>
      </c>
    </row>
    <row r="2" ht="15">
      <c r="B2" s="4" t="str">
        <f>Model_Name</f>
        <v>SMA 14. Security &amp; Protection - Best Practice Model Example</v>
      </c>
    </row>
    <row r="3" spans="2:6" ht="10.5">
      <c r="B3" s="133" t="s">
        <v>1</v>
      </c>
      <c r="C3" s="133"/>
      <c r="D3" s="133"/>
      <c r="E3" s="133"/>
      <c r="F3" s="133"/>
    </row>
    <row r="4" spans="1:6" ht="12.75">
      <c r="A4" s="5" t="s">
        <v>4</v>
      </c>
      <c r="B4" s="7" t="s">
        <v>10</v>
      </c>
      <c r="C4" s="8"/>
      <c r="D4" s="82" t="s">
        <v>158</v>
      </c>
      <c r="E4" s="82" t="s">
        <v>159</v>
      </c>
      <c r="F4" s="60" t="s">
        <v>160</v>
      </c>
    </row>
    <row r="5" ht="10.5"/>
    <row r="7" ht="12.75">
      <c r="B7" s="6" t="s">
        <v>128</v>
      </c>
    </row>
    <row r="9" ht="17.25" customHeight="1">
      <c r="C9" s="28" t="b">
        <v>1</v>
      </c>
    </row>
    <row r="11" ht="11.25">
      <c r="C11" s="16" t="s">
        <v>129</v>
      </c>
    </row>
    <row r="13" spans="4:9" ht="10.5">
      <c r="D13" s="33" t="str">
        <f>D24</f>
        <v>Total Errors:</v>
      </c>
      <c r="I13" s="34">
        <f>Err_Chks_Ttl_Areas</f>
        <v>0</v>
      </c>
    </row>
    <row r="14" spans="4:9" ht="10.5">
      <c r="D14" s="35" t="s">
        <v>134</v>
      </c>
      <c r="I14" s="36">
        <f>IF(OR(NOT(CB_Err_Chks_Show_Msg),Err_Chks_Ttl_Areas=0),"",IF(Err_Chks_Ttl_Areas=1," (Error in "&amp;INDEX(CA_Err_Chks_Area_Names,MATCH(1,CA_Err_Chks_Flags,0))&amp;")"," ("&amp;TEXT(Err_Chks_Ttl_Areas,"#,##0")&amp;" Errors Detected)"))</f>
      </c>
    </row>
    <row r="16" ht="11.25">
      <c r="C16" s="16" t="s">
        <v>128</v>
      </c>
    </row>
    <row r="18" spans="4:13" ht="10.5">
      <c r="D18" s="29" t="s">
        <v>128</v>
      </c>
      <c r="E18" s="30"/>
      <c r="F18" s="30"/>
      <c r="G18" s="30"/>
      <c r="H18" s="30"/>
      <c r="I18" s="30"/>
      <c r="J18" s="30"/>
      <c r="K18" s="31" t="s">
        <v>130</v>
      </c>
      <c r="L18" s="31" t="s">
        <v>131</v>
      </c>
      <c r="M18" s="31" t="s">
        <v>132</v>
      </c>
    </row>
    <row r="19" spans="4:13" ht="10.5">
      <c r="D19" s="117"/>
      <c r="E19" s="57"/>
      <c r="F19" s="57"/>
      <c r="G19" s="57"/>
      <c r="H19" s="57"/>
      <c r="I19" s="57"/>
      <c r="J19" s="57"/>
      <c r="K19" s="118"/>
      <c r="L19" s="118"/>
      <c r="M19" s="118"/>
    </row>
    <row r="20" spans="4:13" ht="10.5">
      <c r="D20" s="114" t="str">
        <f>IF(ISERROR(Err_Chk_1_Hdg),"Miscellaneous Check",Err_Chk_1_Hdg)</f>
        <v>Revenue - Historical Outputs</v>
      </c>
      <c r="E20" s="119"/>
      <c r="F20" s="119"/>
      <c r="G20" s="119"/>
      <c r="H20" s="119"/>
      <c r="I20" s="119"/>
      <c r="J20" s="119"/>
      <c r="K20" s="120">
        <f>IF(ISERROR(HL_Err_Chk_1),1,(HL_Err_Chk_1&lt;&gt;0)*1)</f>
        <v>0</v>
      </c>
      <c r="L20" s="121" t="s">
        <v>194</v>
      </c>
      <c r="M20" s="122">
        <f>K20*(L20="Yes")</f>
        <v>0</v>
      </c>
    </row>
    <row r="21" spans="4:13" ht="10.5">
      <c r="D21" s="114" t="str">
        <f>IF(ISERROR(Err_Chk_2_Hdg),"Miscellaneous Check",Err_Chk_2_Hdg)</f>
        <v>Revenue - Forecast Outputs</v>
      </c>
      <c r="E21" s="119"/>
      <c r="F21" s="119"/>
      <c r="G21" s="119"/>
      <c r="H21" s="119"/>
      <c r="I21" s="119"/>
      <c r="J21" s="119"/>
      <c r="K21" s="120">
        <f>IF(ISERROR(HL_Err_Chk_2),1,(HL_Err_Chk_2&lt;&gt;0)*1)</f>
        <v>0</v>
      </c>
      <c r="L21" s="121" t="s">
        <v>194</v>
      </c>
      <c r="M21" s="122">
        <f>K21*(L21="Yes")</f>
        <v>0</v>
      </c>
    </row>
    <row r="22" spans="4:13" ht="10.5">
      <c r="D22" s="114" t="str">
        <f>IF(ISERROR(Err_Chk_3_Hdg),"Miscellaneous Check",Err_Chk_3_Hdg)</f>
        <v>Revenue - All Periods</v>
      </c>
      <c r="E22" s="119"/>
      <c r="F22" s="119"/>
      <c r="G22" s="119"/>
      <c r="H22" s="119"/>
      <c r="I22" s="119"/>
      <c r="J22" s="119"/>
      <c r="K22" s="120">
        <f>IF(ISERROR(HL_Err_Chk_3),1,(HL_Err_Chk_3&lt;&gt;0)*1)</f>
        <v>0</v>
      </c>
      <c r="L22" s="121" t="s">
        <v>194</v>
      </c>
      <c r="M22" s="122">
        <f>K22*(L22="Yes")</f>
        <v>0</v>
      </c>
    </row>
    <row r="24" spans="4:13" ht="10.5">
      <c r="D24" s="2" t="s">
        <v>133</v>
      </c>
      <c r="M24" s="32">
        <f>SUMIF(CA_Err_Chks_Inc,"Yes",CA_Err_Chks_Flags)</f>
        <v>0</v>
      </c>
    </row>
    <row r="27" ht="12.75">
      <c r="B27" s="6" t="s">
        <v>135</v>
      </c>
    </row>
    <row r="29" ht="17.25" customHeight="1">
      <c r="C29" s="28" t="b">
        <v>1</v>
      </c>
    </row>
    <row r="31" ht="11.25">
      <c r="C31" s="16" t="s">
        <v>136</v>
      </c>
    </row>
    <row r="33" spans="4:9" ht="10.5">
      <c r="D33" s="33" t="str">
        <f>D40</f>
        <v>Total Sensitivities:</v>
      </c>
      <c r="I33" s="34">
        <f>Sens_Chks_Ttl_Areas</f>
        <v>0</v>
      </c>
    </row>
    <row r="34" spans="4:9" ht="10.5">
      <c r="D34" s="35" t="s">
        <v>138</v>
      </c>
      <c r="I34" s="36">
        <f>IF(OR(NOT(CB_Sens_Chks_Show_Msg),Sens_Chks_Ttl_Areas=0),"",IF(Sens_Chks_Ttl_Areas=1," (Sensitivity in "&amp;INDEX(CA_Sens_Chks_Area_Names,MATCH(1,CA_Sens_Chks_Flags,0))&amp;")"," ("&amp;TEXT(Sens_Chks_Ttl_Areas,"#,##0")&amp;" Sensitivities Detected)"))</f>
      </c>
    </row>
    <row r="36" ht="11.25">
      <c r="C36" s="16" t="s">
        <v>135</v>
      </c>
    </row>
    <row r="38" spans="4:13" ht="10.5">
      <c r="D38" s="29" t="s">
        <v>135</v>
      </c>
      <c r="E38" s="30"/>
      <c r="F38" s="30"/>
      <c r="G38" s="30"/>
      <c r="H38" s="30"/>
      <c r="I38" s="30"/>
      <c r="J38" s="30"/>
      <c r="K38" s="31" t="s">
        <v>130</v>
      </c>
      <c r="L38" s="31" t="s">
        <v>131</v>
      </c>
      <c r="M38" s="31" t="s">
        <v>132</v>
      </c>
    </row>
    <row r="40" spans="4:13" ht="10.5">
      <c r="D40" s="2" t="s">
        <v>137</v>
      </c>
      <c r="M40" s="32">
        <f>SUMIF(CA_Sens_Chks_Inc,"Yes",CA_Sens_Chks_Flags)</f>
        <v>0</v>
      </c>
    </row>
    <row r="43" ht="12.75">
      <c r="B43" s="6" t="s">
        <v>139</v>
      </c>
    </row>
    <row r="45" ht="17.25" customHeight="1">
      <c r="C45" s="28" t="b">
        <v>1</v>
      </c>
    </row>
    <row r="47" ht="11.25">
      <c r="C47" s="16" t="s">
        <v>140</v>
      </c>
    </row>
    <row r="49" spans="4:9" ht="10.5">
      <c r="D49" s="33" t="str">
        <f>D56</f>
        <v>Total Alerts:</v>
      </c>
      <c r="I49" s="34">
        <f>Alt_Chks_Ttl_Areas</f>
        <v>0</v>
      </c>
    </row>
    <row r="50" spans="4:9" ht="10.5">
      <c r="D50" s="35" t="s">
        <v>142</v>
      </c>
      <c r="I50" s="36">
        <f>IF(OR(NOT(CB_Alt_Chks_Show_Msg),Alt_Chks_Ttl_Areas=0),"",IF(Alt_Chks_Ttl_Areas=1," (Alert in "&amp;INDEX(CA_Alt_Chks_Area_Names,MATCH(1,CA_Alt_Chks_Flags,0))&amp;")"," ("&amp;TEXT(Alt_Chks_Ttl_Areas,"#,##0")&amp;" Alerts Detected)"))</f>
      </c>
    </row>
    <row r="52" ht="11.25">
      <c r="C52" s="16" t="s">
        <v>139</v>
      </c>
    </row>
    <row r="54" spans="4:13" ht="10.5">
      <c r="D54" s="29" t="s">
        <v>139</v>
      </c>
      <c r="E54" s="30"/>
      <c r="F54" s="30"/>
      <c r="G54" s="30"/>
      <c r="H54" s="30"/>
      <c r="I54" s="30"/>
      <c r="J54" s="30"/>
      <c r="K54" s="31" t="s">
        <v>130</v>
      </c>
      <c r="L54" s="31" t="s">
        <v>131</v>
      </c>
      <c r="M54" s="31" t="s">
        <v>132</v>
      </c>
    </row>
    <row r="56" spans="4:13" ht="10.5">
      <c r="D56" s="2" t="s">
        <v>141</v>
      </c>
      <c r="M56" s="32">
        <f>SUMIF(CA_Alt_Chks_Inc,"Yes",CA_Alt_Chks_Flags)</f>
        <v>0</v>
      </c>
    </row>
  </sheetData>
  <sheetProtection sheet="1" objects="1" scenarios="1"/>
  <mergeCells count="1">
    <mergeCell ref="B3:F3"/>
  </mergeCells>
  <conditionalFormatting sqref="M24 I13">
    <cfRule type="cellIs" priority="1" dxfId="12" operator="notEqual" stopIfTrue="1">
      <formula>0</formula>
    </cfRule>
  </conditionalFormatting>
  <conditionalFormatting sqref="M40">
    <cfRule type="cellIs" priority="3" dxfId="12" operator="notEqual" stopIfTrue="1">
      <formula>0</formula>
    </cfRule>
  </conditionalFormatting>
  <conditionalFormatting sqref="I33">
    <cfRule type="cellIs" priority="4" dxfId="12" operator="notEqual" stopIfTrue="1">
      <formula>0</formula>
    </cfRule>
  </conditionalFormatting>
  <conditionalFormatting sqref="M56">
    <cfRule type="cellIs" priority="5" dxfId="12" operator="notEqual" stopIfTrue="1">
      <formula>0</formula>
    </cfRule>
  </conditionalFormatting>
  <conditionalFormatting sqref="I49">
    <cfRule type="cellIs" priority="6" dxfId="12" operator="notEqual" stopIfTrue="1">
      <formula>0</formula>
    </cfRule>
  </conditionalFormatting>
  <conditionalFormatting sqref="D20">
    <cfRule type="expression" priority="7" dxfId="0" stopIfTrue="1">
      <formula>K20&lt;&gt;0</formula>
    </cfRule>
  </conditionalFormatting>
  <conditionalFormatting sqref="K20">
    <cfRule type="cellIs" priority="8" dxfId="0" operator="notEqual" stopIfTrue="1">
      <formula>0</formula>
    </cfRule>
  </conditionalFormatting>
  <conditionalFormatting sqref="L20">
    <cfRule type="expression" priority="9" dxfId="0" stopIfTrue="1">
      <formula>K20&lt;&gt;0</formula>
    </cfRule>
  </conditionalFormatting>
  <conditionalFormatting sqref="M20">
    <cfRule type="expression" priority="10" dxfId="0" stopIfTrue="1">
      <formula>K20&lt;&gt;0</formula>
    </cfRule>
  </conditionalFormatting>
  <conditionalFormatting sqref="D21">
    <cfRule type="expression" priority="11" dxfId="0" stopIfTrue="1">
      <formula>K21&lt;&gt;0</formula>
    </cfRule>
  </conditionalFormatting>
  <conditionalFormatting sqref="K21">
    <cfRule type="cellIs" priority="12" dxfId="0" operator="notEqual" stopIfTrue="1">
      <formula>0</formula>
    </cfRule>
  </conditionalFormatting>
  <conditionalFormatting sqref="L21">
    <cfRule type="expression" priority="13" dxfId="0" stopIfTrue="1">
      <formula>K21&lt;&gt;0</formula>
    </cfRule>
  </conditionalFormatting>
  <conditionalFormatting sqref="M21">
    <cfRule type="expression" priority="14" dxfId="0" stopIfTrue="1">
      <formula>K21&lt;&gt;0</formula>
    </cfRule>
  </conditionalFormatting>
  <conditionalFormatting sqref="D22">
    <cfRule type="expression" priority="15" dxfId="0" stopIfTrue="1">
      <formula>K22&lt;&gt;0</formula>
    </cfRule>
  </conditionalFormatting>
  <conditionalFormatting sqref="K22">
    <cfRule type="cellIs" priority="16" dxfId="0" operator="notEqual" stopIfTrue="1">
      <formula>0</formula>
    </cfRule>
  </conditionalFormatting>
  <conditionalFormatting sqref="L22">
    <cfRule type="expression" priority="17" dxfId="0" stopIfTrue="1">
      <formula>K22&lt;&gt;0</formula>
    </cfRule>
  </conditionalFormatting>
  <conditionalFormatting sqref="M22">
    <cfRule type="expression" priority="18" dxfId="0" stopIfTrue="1">
      <formula>K22&lt;&gt;0</formula>
    </cfRule>
  </conditionalFormatting>
  <dataValidations count="4">
    <dataValidation type="custom" showErrorMessage="1" errorTitle="6 Cell Link" error="The value in an option button cell link must be either &quot;TRUE&quot; or &quot;FALSE&quot;" sqref="C45 C29 C9">
      <formula1>ISLOGICAL(C45)</formula1>
    </dataValidation>
    <dataValidation type="list" showErrorMessage="1" errorTitle="Include Error Check" error="The include error check trigger must correspond with one of the options provided in the drop down list." sqref="L20">
      <formula1>"Yes,No"</formula1>
    </dataValidation>
    <dataValidation type="list" showErrorMessage="1" errorTitle="Include Error Check" error="The include error check trigger must correspond with one of the options provided in the drop down list." sqref="L21">
      <formula1>"Yes,No"</formula1>
    </dataValidation>
    <dataValidation type="list" showErrorMessage="1" errorTitle="Include Error Check" error="The include error check trigger must correspond with one of the options provided in the drop down list." sqref="L22">
      <formula1>"Yes,No"</formula1>
    </dataValidation>
  </dataValidations>
  <hyperlinks>
    <hyperlink ref="D20:J20" location="HL_Err_Chk_1" tooltip="Go to Revenue - Historical Outputs" display="HL_Err_Chk_1"/>
    <hyperlink ref="D21:J21" location="HL_Err_Chk_2" tooltip="Go to Revenue - Forecast Outputs" display="HL_Err_Chk_2"/>
    <hyperlink ref="D22:J22" location="HL_Err_Chk_3" tooltip="Go to Revenue - All Periods" display="HL_Err_Chk_3"/>
    <hyperlink ref="B3" location="HL_Home" tooltip="Go to Table of Contents" display="HL_Home"/>
    <hyperlink ref="A4" location="$B$5" tooltip="Go to Top of Sheet" display="$B$5"/>
    <hyperlink ref="B4" location="HL_Sheet_Main_11" tooltip="Go to Previous Sheet" display="HL_Sheet_Main_11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300" verticalDpi="300" orientation="landscape" paperSize="9" r:id="rId2"/>
  <headerFooter alignWithMargins="0">
    <oddFooter>&amp;L&amp;"Bold"&amp;7&amp;F
&amp;A
Printed: &amp;T on &amp;D&amp;C&amp;"Bold"&amp;10Page &amp;P of &amp;N</oddFooter>
  </headerFooter>
  <rowBreaks count="1" manualBreakCount="1">
    <brk id="26" min="1" max="16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pane xSplit="1" ySplit="6" topLeftCell="B7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1"/>
  <cols>
    <col min="1" max="2" width="3.83203125" style="0" customWidth="1"/>
    <col min="3" max="3" width="0" style="0" hidden="1" customWidth="1"/>
    <col min="4" max="4" width="5.16015625" style="0" customWidth="1"/>
    <col min="5" max="5" width="0" style="0" hidden="1" customWidth="1"/>
    <col min="6" max="6" width="2.83203125" style="0" customWidth="1"/>
    <col min="7" max="7" width="0" style="0" hidden="1" customWidth="1"/>
    <col min="8" max="8" width="1.83203125" style="0" customWidth="1"/>
    <col min="17" max="17" width="9.16015625" style="0" customWidth="1"/>
  </cols>
  <sheetData>
    <row r="1" ht="18">
      <c r="B1" s="1" t="s">
        <v>2</v>
      </c>
    </row>
    <row r="2" ht="15">
      <c r="B2" s="4" t="str">
        <f>Model_Name</f>
        <v>SMA 14. Security &amp; Protection - Best Practice Model Example</v>
      </c>
    </row>
    <row r="3" spans="2:10" ht="10.5">
      <c r="B3" s="133" t="s">
        <v>3</v>
      </c>
      <c r="C3" s="133"/>
      <c r="D3" s="133"/>
      <c r="E3" s="133"/>
      <c r="F3" s="133"/>
      <c r="G3" s="133"/>
      <c r="H3" s="133"/>
      <c r="I3" s="133"/>
      <c r="J3" s="114"/>
    </row>
    <row r="6" spans="1:17" s="57" customFormat="1" ht="12.75">
      <c r="A6" s="56" t="s">
        <v>4</v>
      </c>
      <c r="B6" s="124" t="s">
        <v>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125" t="s">
        <v>195</v>
      </c>
    </row>
    <row r="7" ht="10.5"/>
    <row r="8" spans="2:17" ht="18.75" customHeight="1">
      <c r="B8" s="137">
        <v>1</v>
      </c>
      <c r="C8" s="137"/>
      <c r="D8" s="138" t="str">
        <f>Assumptions_SC!C9</f>
        <v>Assumptions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26">
        <v>3</v>
      </c>
    </row>
    <row r="9" spans="6:17" ht="10.5" outlineLevel="1">
      <c r="F9" s="135" t="s">
        <v>150</v>
      </c>
      <c r="G9" s="135"/>
      <c r="H9" s="136" t="str">
        <f>TS_BA!B1</f>
        <v>Time Series Assumptions</v>
      </c>
      <c r="I9" s="136"/>
      <c r="J9" s="136"/>
      <c r="K9" s="136"/>
      <c r="L9" s="136"/>
      <c r="M9" s="136"/>
      <c r="N9" s="136"/>
      <c r="O9" s="136"/>
      <c r="P9" s="136"/>
      <c r="Q9" s="127">
        <v>4</v>
      </c>
    </row>
    <row r="10" spans="6:17" ht="10.5" outlineLevel="1">
      <c r="F10" s="135" t="s">
        <v>151</v>
      </c>
      <c r="G10" s="135"/>
      <c r="H10" s="136" t="str">
        <f>Rev_Hist_TA!B1</f>
        <v>Revenue - Historical Assumptions</v>
      </c>
      <c r="I10" s="136"/>
      <c r="J10" s="136"/>
      <c r="K10" s="136"/>
      <c r="L10" s="136"/>
      <c r="M10" s="136"/>
      <c r="N10" s="136"/>
      <c r="O10" s="136"/>
      <c r="P10" s="136"/>
      <c r="Q10" s="127">
        <v>5</v>
      </c>
    </row>
    <row r="11" spans="6:17" ht="10.5" outlineLevel="1">
      <c r="F11" s="135" t="s">
        <v>176</v>
      </c>
      <c r="G11" s="135"/>
      <c r="H11" s="136" t="str">
        <f>Rev_Fcast_TA!B1</f>
        <v>Revenue - Forecast Assumptions</v>
      </c>
      <c r="I11" s="136"/>
      <c r="J11" s="136"/>
      <c r="K11" s="136"/>
      <c r="L11" s="136"/>
      <c r="M11" s="136"/>
      <c r="N11" s="136"/>
      <c r="O11" s="136"/>
      <c r="P11" s="136"/>
      <c r="Q11" s="127">
        <v>6</v>
      </c>
    </row>
    <row r="12" spans="2:17" ht="18.75" customHeight="1">
      <c r="B12" s="137">
        <v>2</v>
      </c>
      <c r="C12" s="137"/>
      <c r="D12" s="138" t="str">
        <f>Outputs_SC!C9</f>
        <v>Outputs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26">
        <v>7</v>
      </c>
    </row>
    <row r="13" spans="6:17" ht="10.5" outlineLevel="1">
      <c r="F13" s="135" t="s">
        <v>150</v>
      </c>
      <c r="G13" s="135"/>
      <c r="H13" s="136" t="str">
        <f>Rev_Hist_TO!B1</f>
        <v>Revenue - Historical Outputs</v>
      </c>
      <c r="I13" s="136"/>
      <c r="J13" s="136"/>
      <c r="K13" s="136"/>
      <c r="L13" s="136"/>
      <c r="M13" s="136"/>
      <c r="N13" s="136"/>
      <c r="O13" s="136"/>
      <c r="P13" s="136"/>
      <c r="Q13" s="127">
        <v>8</v>
      </c>
    </row>
    <row r="14" spans="6:17" ht="10.5" outlineLevel="1">
      <c r="F14" s="135" t="s">
        <v>151</v>
      </c>
      <c r="G14" s="135"/>
      <c r="H14" s="136" t="str">
        <f>Rev_Fcast_TO!B1</f>
        <v>Revenue - Forecast Outputs</v>
      </c>
      <c r="I14" s="136"/>
      <c r="J14" s="136"/>
      <c r="K14" s="136"/>
      <c r="L14" s="136"/>
      <c r="M14" s="136"/>
      <c r="N14" s="136"/>
      <c r="O14" s="136"/>
      <c r="P14" s="136"/>
      <c r="Q14" s="127">
        <v>9</v>
      </c>
    </row>
    <row r="15" spans="6:17" ht="10.5" outlineLevel="1">
      <c r="F15" s="135" t="s">
        <v>176</v>
      </c>
      <c r="G15" s="135"/>
      <c r="H15" s="136" t="str">
        <f>Revenue_TO!B1</f>
        <v>Revenue - All Periods</v>
      </c>
      <c r="I15" s="136"/>
      <c r="J15" s="136"/>
      <c r="K15" s="136"/>
      <c r="L15" s="136"/>
      <c r="M15" s="136"/>
      <c r="N15" s="136"/>
      <c r="O15" s="136"/>
      <c r="P15" s="136"/>
      <c r="Q15" s="127">
        <v>10</v>
      </c>
    </row>
    <row r="16" spans="6:17" ht="10.5" outlineLevel="1">
      <c r="F16" s="135" t="s">
        <v>192</v>
      </c>
      <c r="G16" s="135"/>
      <c r="H16" s="136" t="str">
        <f>Revenue_Dashboard_P_TO!B1</f>
        <v>Revenue - Output Dashboard</v>
      </c>
      <c r="I16" s="136"/>
      <c r="J16" s="136"/>
      <c r="K16" s="136"/>
      <c r="L16" s="136"/>
      <c r="M16" s="136"/>
      <c r="N16" s="136"/>
      <c r="O16" s="136"/>
      <c r="P16" s="136"/>
      <c r="Q16" s="127">
        <v>11</v>
      </c>
    </row>
    <row r="17" spans="2:17" ht="18.75" customHeight="1">
      <c r="B17" s="137">
        <v>3</v>
      </c>
      <c r="C17" s="137"/>
      <c r="D17" s="138" t="str">
        <f>Appendices_SC!C9</f>
        <v>Appendices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26">
        <v>12</v>
      </c>
    </row>
    <row r="18" spans="4:17" ht="11.25">
      <c r="D18" s="139" t="s">
        <v>155</v>
      </c>
      <c r="E18" s="139"/>
      <c r="F18" s="140" t="str">
        <f>Lookup_Tables_SSC!C9</f>
        <v>Lookup Tables</v>
      </c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28">
        <v>13</v>
      </c>
    </row>
    <row r="19" spans="6:17" ht="10.5" outlineLevel="1">
      <c r="F19" s="135" t="s">
        <v>150</v>
      </c>
      <c r="G19" s="135"/>
      <c r="H19" s="136" t="str">
        <f>TS_LU!B1</f>
        <v>Time Series Lookup Tables</v>
      </c>
      <c r="I19" s="136"/>
      <c r="J19" s="136"/>
      <c r="K19" s="136"/>
      <c r="L19" s="136"/>
      <c r="M19" s="136"/>
      <c r="N19" s="136"/>
      <c r="O19" s="136"/>
      <c r="P19" s="136"/>
      <c r="Q19" s="127">
        <v>14</v>
      </c>
    </row>
    <row r="20" spans="6:17" ht="10.5" outlineLevel="1">
      <c r="F20" s="135" t="s">
        <v>151</v>
      </c>
      <c r="G20" s="135"/>
      <c r="H20" s="136" t="str">
        <f>Revenue_LU!B1</f>
        <v>Revenue - Lookup Tables</v>
      </c>
      <c r="I20" s="136"/>
      <c r="J20" s="136"/>
      <c r="K20" s="136"/>
      <c r="L20" s="136"/>
      <c r="M20" s="136"/>
      <c r="N20" s="136"/>
      <c r="O20" s="136"/>
      <c r="P20" s="136"/>
      <c r="Q20" s="127">
        <v>17</v>
      </c>
    </row>
    <row r="21" spans="4:17" ht="11.25">
      <c r="D21" s="139" t="s">
        <v>157</v>
      </c>
      <c r="E21" s="139"/>
      <c r="F21" s="140" t="str">
        <f>Checks_SSC!C9</f>
        <v>Checks</v>
      </c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28">
        <v>18</v>
      </c>
    </row>
    <row r="22" spans="6:17" ht="10.5" outlineLevel="1">
      <c r="F22" s="135" t="s">
        <v>150</v>
      </c>
      <c r="G22" s="135"/>
      <c r="H22" s="136" t="str">
        <f>Checks_BO!B1</f>
        <v>Checks</v>
      </c>
      <c r="I22" s="136"/>
      <c r="J22" s="136"/>
      <c r="K22" s="136"/>
      <c r="L22" s="136"/>
      <c r="M22" s="136"/>
      <c r="N22" s="136"/>
      <c r="O22" s="136"/>
      <c r="P22" s="136"/>
      <c r="Q22" s="127">
        <v>19</v>
      </c>
    </row>
    <row r="23" spans="8:17" ht="10.5" outlineLevel="1">
      <c r="H23" s="58" t="s">
        <v>118</v>
      </c>
      <c r="I23" s="134" t="str">
        <f>TOC_Hdg_3</f>
        <v>Error Checks</v>
      </c>
      <c r="J23" s="134"/>
      <c r="K23" s="134"/>
      <c r="L23" s="134"/>
      <c r="M23" s="134"/>
      <c r="N23" s="134"/>
      <c r="O23" s="134"/>
      <c r="P23" s="134"/>
      <c r="Q23" s="58" t="s">
        <v>118</v>
      </c>
    </row>
    <row r="24" spans="8:17" ht="10.5" outlineLevel="1">
      <c r="H24" s="58" t="s">
        <v>118</v>
      </c>
      <c r="I24" s="134" t="str">
        <f>TOC_Hdg_4</f>
        <v>Sensitivity Checks</v>
      </c>
      <c r="J24" s="134"/>
      <c r="K24" s="134"/>
      <c r="L24" s="134"/>
      <c r="M24" s="134"/>
      <c r="N24" s="134"/>
      <c r="O24" s="134"/>
      <c r="P24" s="134"/>
      <c r="Q24" s="58" t="s">
        <v>118</v>
      </c>
    </row>
    <row r="25" spans="8:17" ht="10.5" outlineLevel="1">
      <c r="H25" s="58" t="s">
        <v>118</v>
      </c>
      <c r="I25" s="134" t="str">
        <f>TOC_Hdg_5</f>
        <v>Alert Checks</v>
      </c>
      <c r="J25" s="134"/>
      <c r="K25" s="134"/>
      <c r="L25" s="134"/>
      <c r="M25" s="134"/>
      <c r="N25" s="134"/>
      <c r="O25" s="134"/>
      <c r="P25" s="134"/>
      <c r="Q25" s="58" t="s">
        <v>118</v>
      </c>
    </row>
    <row r="27" spans="2:17" ht="16.5" customHeight="1">
      <c r="B27" s="16" t="s">
        <v>196</v>
      </c>
      <c r="Q27" s="129">
        <v>20</v>
      </c>
    </row>
  </sheetData>
  <sheetProtection sheet="1" objects="1" scenarios="1"/>
  <mergeCells count="34">
    <mergeCell ref="B3:I3"/>
    <mergeCell ref="F11:G11"/>
    <mergeCell ref="H11:P11"/>
    <mergeCell ref="B12:C12"/>
    <mergeCell ref="B8:C8"/>
    <mergeCell ref="D8:P8"/>
    <mergeCell ref="F9:G9"/>
    <mergeCell ref="H9:P9"/>
    <mergeCell ref="F10:G10"/>
    <mergeCell ref="D12:P12"/>
    <mergeCell ref="F13:G13"/>
    <mergeCell ref="H13:P13"/>
    <mergeCell ref="H10:P10"/>
    <mergeCell ref="F15:G15"/>
    <mergeCell ref="H15:P15"/>
    <mergeCell ref="F14:G14"/>
    <mergeCell ref="H14:P14"/>
    <mergeCell ref="D21:E21"/>
    <mergeCell ref="F20:G20"/>
    <mergeCell ref="H20:P20"/>
    <mergeCell ref="F21:P21"/>
    <mergeCell ref="B17:C17"/>
    <mergeCell ref="D17:P17"/>
    <mergeCell ref="D18:E18"/>
    <mergeCell ref="F18:P18"/>
    <mergeCell ref="I24:P24"/>
    <mergeCell ref="I25:P25"/>
    <mergeCell ref="I23:P23"/>
    <mergeCell ref="F16:G16"/>
    <mergeCell ref="H16:P16"/>
    <mergeCell ref="F19:G19"/>
    <mergeCell ref="H19:P19"/>
    <mergeCell ref="F22:G22"/>
    <mergeCell ref="H22:P22"/>
  </mergeCells>
  <hyperlinks>
    <hyperlink ref="B8" location="HL_Sheet_Main_3" tooltip="Go to Assumptions" display="HL_Sheet_Main_3"/>
    <hyperlink ref="D8" location="HL_Sheet_Main_3" tooltip="Go to Assumptions" display="HL_Sheet_Main_3"/>
    <hyperlink ref="Q8" location="HL_Sheet_Main_3" tooltip="Go to Assumptions" display="HL_Sheet_Main_3"/>
    <hyperlink ref="F9" location="HL_Sheet_Main_4" tooltip="Go to Time Series Assumptions" display="HL_Sheet_Main_4"/>
    <hyperlink ref="H9" location="HL_Sheet_Main_4" tooltip="Go to Time Series Assumptions" display="HL_Sheet_Main_4"/>
    <hyperlink ref="Q9" location="HL_Sheet_Main_4" tooltip="Go to Time Series Assumptions" display="HL_Sheet_Main_4"/>
    <hyperlink ref="F10" location="HL_Sheet_Main_5" tooltip="Go to Revenue - Historical Assumptions" display="HL_Sheet_Main_5"/>
    <hyperlink ref="H10" location="HL_Sheet_Main_5" tooltip="Go to Revenue - Historical Assumptions" display="HL_Sheet_Main_5"/>
    <hyperlink ref="Q10" location="HL_Sheet_Main_5" tooltip="Go to Revenue - Historical Assumptions" display="HL_Sheet_Main_5"/>
    <hyperlink ref="F11" location="HL_Sheet_Main_13" tooltip="Go to Revenue - Forecast Assumptions" display="HL_Sheet_Main_13"/>
    <hyperlink ref="H11" location="HL_Sheet_Main_13" tooltip="Go to Revenue - Forecast Assumptions" display="HL_Sheet_Main_13"/>
    <hyperlink ref="Q11" location="HL_Sheet_Main_13" tooltip="Go to Revenue - Forecast Assumptions" display="HL_Sheet_Main_13"/>
    <hyperlink ref="B12" location="HL_Sheet_Main_6" tooltip="Go to Outputs" display="HL_Sheet_Main_6"/>
    <hyperlink ref="D12" location="HL_Sheet_Main_6" tooltip="Go to Outputs" display="HL_Sheet_Main_6"/>
    <hyperlink ref="Q12" location="HL_Sheet_Main_6" tooltip="Go to Outputs" display="HL_Sheet_Main_6"/>
    <hyperlink ref="F13" location="HL_Sheet_Main_14" tooltip="Go to Revenue - Historical Outputs" display="HL_Sheet_Main_14"/>
    <hyperlink ref="H13" location="HL_Sheet_Main_14" tooltip="Go to Revenue - Historical Outputs" display="HL_Sheet_Main_14"/>
    <hyperlink ref="Q13" location="HL_Sheet_Main_14" tooltip="Go to Revenue - Historical Outputs" display="HL_Sheet_Main_14"/>
    <hyperlink ref="F14" location="HL_Sheet_Main_15" tooltip="Go to Revenue - Forecast Outputs" display="HL_Sheet_Main_15"/>
    <hyperlink ref="H14" location="HL_Sheet_Main_15" tooltip="Go to Revenue - Forecast Outputs" display="HL_Sheet_Main_15"/>
    <hyperlink ref="Q14" location="HL_Sheet_Main_15" tooltip="Go to Revenue - Forecast Outputs" display="HL_Sheet_Main_15"/>
    <hyperlink ref="F15" location="HL_Sheet_Main_7" tooltip="Go to Revenue - All Periods" display="HL_Sheet_Main_7"/>
    <hyperlink ref="H15" location="HL_Sheet_Main_7" tooltip="Go to Revenue - All Periods" display="HL_Sheet_Main_7"/>
    <hyperlink ref="Q15" location="HL_Sheet_Main_7" tooltip="Go to Revenue - All Periods" display="HL_Sheet_Main_7"/>
    <hyperlink ref="F16" location="HL_Sheet_Main_16" tooltip="Go to Revenue - Output Dashboard" display="HL_Sheet_Main_16"/>
    <hyperlink ref="H16" location="HL_Sheet_Main_16" tooltip="Go to Revenue - Output Dashboard" display="HL_Sheet_Main_16"/>
    <hyperlink ref="Q16" location="HL_Sheet_Main_16" tooltip="Go to Revenue - Output Dashboard" display="HL_Sheet_Main_16"/>
    <hyperlink ref="B17" location="HL_Sheet_Main_8" tooltip="Go to Appendices" display="HL_Sheet_Main_8"/>
    <hyperlink ref="D17" location="HL_Sheet_Main_8" tooltip="Go to Appendices" display="HL_Sheet_Main_8"/>
    <hyperlink ref="Q17" location="HL_Sheet_Main_8" tooltip="Go to Appendices" display="HL_Sheet_Main_8"/>
    <hyperlink ref="D18" location="HL_Sheet_Main_9" tooltip="Go to Lookup Tables" display="HL_Sheet_Main_9"/>
    <hyperlink ref="F18" location="HL_Sheet_Main_9" tooltip="Go to Lookup Tables" display="HL_Sheet_Main_9"/>
    <hyperlink ref="Q18" location="HL_Sheet_Main_9" tooltip="Go to Lookup Tables" display="HL_Sheet_Main_9"/>
    <hyperlink ref="F19" location="HL_Sheet_Main_10" tooltip="Go to Time Series Lookup Tables" display="HL_Sheet_Main_10"/>
    <hyperlink ref="H19" location="HL_Sheet_Main_10" tooltip="Go to Time Series Lookup Tables" display="HL_Sheet_Main_10"/>
    <hyperlink ref="Q19" location="HL_Sheet_Main_10" tooltip="Go to Time Series Lookup Tables" display="HL_Sheet_Main_10"/>
    <hyperlink ref="F20" location="HL_Sheet_Main_17" tooltip="Go to Revenue - Lookup Tables" display="HL_Sheet_Main_17"/>
    <hyperlink ref="H20" location="HL_Sheet_Main_17" tooltip="Go to Revenue - Lookup Tables" display="HL_Sheet_Main_17"/>
    <hyperlink ref="Q20" location="HL_Sheet_Main_17" tooltip="Go to Revenue - Lookup Tables" display="HL_Sheet_Main_17"/>
    <hyperlink ref="D21" location="HL_Sheet_Main_11" tooltip="Go to Checks" display="HL_Sheet_Main_11"/>
    <hyperlink ref="F21" location="HL_Sheet_Main_11" tooltip="Go to Checks" display="HL_Sheet_Main_11"/>
    <hyperlink ref="Q21" location="HL_Sheet_Main_11" tooltip="Go to Checks" display="HL_Sheet_Main_11"/>
    <hyperlink ref="F22" location="HL_Sheet_Main_12" tooltip="Go to Checks" display="HL_Sheet_Main_12"/>
    <hyperlink ref="H22" location="HL_Sheet_Main_12" tooltip="Go to Checks" display="HL_Sheet_Main_12"/>
    <hyperlink ref="Q22" location="HL_Sheet_Main_12" tooltip="Go to Checks" display="HL_Sheet_Main_12"/>
    <hyperlink ref="H23" location="HL_TOC_3" tooltip="Go to Error Checks" display="HL_TOC_3"/>
    <hyperlink ref="I23" location="HL_TOC_3" tooltip="Go to Error Checks" display="HL_TOC_3"/>
    <hyperlink ref="Q23" location="HL_TOC_3" tooltip="Go to Error Checks" display="HL_TOC_3"/>
    <hyperlink ref="H24" location="HL_TOC_4" tooltip="Go to Sensitivity Checks" display="HL_TOC_4"/>
    <hyperlink ref="I24" location="HL_TOC_4" tooltip="Go to Sensitivity Checks" display="HL_TOC_4"/>
    <hyperlink ref="Q24" location="HL_TOC_4" tooltip="Go to Sensitivity Checks" display="HL_TOC_4"/>
    <hyperlink ref="H25" location="HL_TOC_5" tooltip="Go to Alert Checks" display="HL_TOC_5"/>
    <hyperlink ref="I25" location="HL_TOC_5" tooltip="Go to Alert Checks" display="HL_TOC_5"/>
    <hyperlink ref="Q25" location="HL_TOC_5" tooltip="Go to Alert Checks" display="HL_TOC_5"/>
    <hyperlink ref="A6" location="$B$7" tooltip="Go to Top of Sheet" display="$B$7"/>
    <hyperlink ref="B3" location="'Cover'!A1" tooltip="Go to Cover Sheet" display="'Cover'!A1"/>
  </hyperlinks>
  <printOptions/>
  <pageMargins left="0.393700787401575" right="0.393700787401575" top="0.590551181102362" bottom="0.984251968503937" header="0" footer="0.3149606299212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12</v>
      </c>
    </row>
    <row r="10" ht="16.5">
      <c r="C10" s="9" t="s">
        <v>149</v>
      </c>
    </row>
    <row r="11" ht="15">
      <c r="C11" s="4" t="str">
        <f>Model_Name</f>
        <v>SMA 14. Security &amp; Protection - Best Practice Model Example</v>
      </c>
    </row>
    <row r="12" spans="3:7" ht="10.5">
      <c r="C12" s="133" t="s">
        <v>1</v>
      </c>
      <c r="D12" s="133"/>
      <c r="E12" s="133"/>
      <c r="F12" s="133"/>
      <c r="G12" s="133"/>
    </row>
    <row r="13" spans="3:4" ht="12.75">
      <c r="C13" s="7" t="s">
        <v>10</v>
      </c>
      <c r="D13" s="8" t="s">
        <v>11</v>
      </c>
    </row>
    <row r="17" ht="10.5">
      <c r="C17" s="2" t="s">
        <v>6</v>
      </c>
    </row>
    <row r="18" ht="10.5">
      <c r="C18" s="3" t="s">
        <v>7</v>
      </c>
    </row>
    <row r="19" ht="10.5">
      <c r="C19" s="3" t="s">
        <v>8</v>
      </c>
    </row>
    <row r="20" ht="10.5">
      <c r="C20" s="3" t="s">
        <v>9</v>
      </c>
    </row>
  </sheetData>
  <sheetProtection sheet="1" objects="1" scenarios="1"/>
  <mergeCells count="1">
    <mergeCell ref="C12:G12"/>
  </mergeCells>
  <hyperlinks>
    <hyperlink ref="C12" location="HL_Home" tooltip="Go to Table of Contents" display="HL_Home"/>
    <hyperlink ref="C13" location="HL_Sheet_Main_2" tooltip="Go to Previous Sheet" display="HL_Sheet_Main_2"/>
    <hyperlink ref="D13" location="HL_Sheet_Main_4" tooltip="Go to Next Sheet" display="HL_Sheet_Main_4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1"/>
  <headerFooter alignWithMargins="0">
    <oddFooter>&amp;L&amp;"Bold"&amp;7&amp;F
&amp;A
Printed: &amp;T on &amp;D&amp;C&amp;"Bold"&amp;10Page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PageLayoutView="0" workbookViewId="0" topLeftCell="A1">
      <pane xSplit="1" ySplit="4" topLeftCell="B5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/>
  <cols>
    <col min="1" max="5" width="3.83203125" style="10" customWidth="1"/>
    <col min="6" max="16384" width="11.83203125" style="10" customWidth="1"/>
  </cols>
  <sheetData>
    <row r="1" ht="18">
      <c r="B1" s="12" t="s">
        <v>13</v>
      </c>
    </row>
    <row r="2" ht="15">
      <c r="B2" s="11" t="str">
        <f>Model_Name</f>
        <v>SMA 14. Security &amp; Protection - Best Practice Model Example</v>
      </c>
    </row>
    <row r="3" spans="2:6" ht="10.5">
      <c r="B3" s="152" t="s">
        <v>1</v>
      </c>
      <c r="C3" s="152"/>
      <c r="D3" s="152"/>
      <c r="E3" s="152"/>
      <c r="F3" s="152"/>
    </row>
    <row r="4" spans="1:6" ht="12.75">
      <c r="A4" s="13" t="s">
        <v>4</v>
      </c>
      <c r="B4" s="14" t="s">
        <v>10</v>
      </c>
      <c r="C4" s="15" t="s">
        <v>11</v>
      </c>
      <c r="D4" s="81" t="s">
        <v>158</v>
      </c>
      <c r="E4" s="81" t="s">
        <v>159</v>
      </c>
      <c r="F4" s="59" t="s">
        <v>160</v>
      </c>
    </row>
    <row r="5" ht="10.5"/>
    <row r="6" ht="10.5"/>
    <row r="7" ht="12.75">
      <c r="B7" s="21" t="s">
        <v>13</v>
      </c>
    </row>
    <row r="8" ht="10.5"/>
    <row r="9" ht="11.25">
      <c r="C9" s="22" t="s">
        <v>85</v>
      </c>
    </row>
    <row r="10" ht="10.5"/>
    <row r="11" spans="4:11" ht="10.5">
      <c r="D11" s="23" t="s">
        <v>86</v>
      </c>
      <c r="J11" s="153" t="s">
        <v>124</v>
      </c>
      <c r="K11" s="153"/>
    </row>
    <row r="12" spans="4:11" ht="10.5">
      <c r="D12" s="23" t="s">
        <v>54</v>
      </c>
      <c r="J12" s="144" t="str">
        <f>Mthly</f>
        <v>Monthly</v>
      </c>
      <c r="K12" s="144"/>
    </row>
    <row r="13" spans="4:11" ht="15.75" customHeight="1">
      <c r="D13" s="23" t="s">
        <v>87</v>
      </c>
      <c r="J13" s="27">
        <v>31</v>
      </c>
      <c r="K13" s="27">
        <v>12</v>
      </c>
    </row>
    <row r="14" spans="4:11" ht="10.5">
      <c r="D14" s="23" t="s">
        <v>88</v>
      </c>
      <c r="J14" s="150">
        <v>40179</v>
      </c>
      <c r="K14" s="151"/>
    </row>
    <row r="15" spans="4:11" ht="10.5">
      <c r="D15" s="23" t="s">
        <v>89</v>
      </c>
      <c r="J15" s="154">
        <v>10</v>
      </c>
      <c r="K15" s="154"/>
    </row>
    <row r="16" spans="4:11" ht="10.5" customHeight="1" hidden="1" outlineLevel="2">
      <c r="D16" s="23" t="s">
        <v>90</v>
      </c>
      <c r="J16" s="144" t="str">
        <f>INDEX(LU_Period_Type_Names,MATCH(TS_Periodicity,LU_Periodicity,0))</f>
        <v>Month</v>
      </c>
      <c r="K16" s="144"/>
    </row>
    <row r="17" spans="4:11" ht="10.5" customHeight="1" hidden="1" outlineLevel="2">
      <c r="D17" s="23" t="s">
        <v>91</v>
      </c>
      <c r="J17" s="155" t="str">
        <f>CHOOSE(MATCH(TS_Periodicity,LU_Periodicity,0),Yr_Name,"H","Q","M")</f>
        <v>M</v>
      </c>
      <c r="K17" s="155"/>
    </row>
    <row r="18" spans="4:11" ht="10.5" customHeight="1" hidden="1" outlineLevel="2">
      <c r="D18" s="23" t="s">
        <v>92</v>
      </c>
      <c r="J18" s="155" t="b">
        <f>OR(AND(DD_TS_Fin_YE_Day&gt;=28,DD_TS_Fin_YE_Mth=2),DD_TS_Fin_YE_Day&gt;=DAY(EOMONTH(DATE(YEAR(TS_Start_Date),DD_TS_Fin_YE_Mth,1),0)))</f>
        <v>1</v>
      </c>
      <c r="K18" s="155"/>
    </row>
    <row r="19" spans="4:11" ht="10.5" customHeight="1" hidden="1" outlineLevel="2">
      <c r="D19" s="23" t="s">
        <v>93</v>
      </c>
      <c r="J19" s="142">
        <f>IF(TS_Mth_End,DATE(YEAR(TS_Per_1_FY_End_Date)-IF(TS_Per_1_FY_End_Date=EOMONTH(DATE(YEAR(TS_Per_1_FY_End_Date),Mths_In_Yr,1),0),0,1),MOD(MONTH(TS_Per_1_FY_End_Date),Mths_In_Yr)+1,1),EDATE(TS_Per_1_FY_End_Date,-Mths_In_Yr)+1)</f>
        <v>40179</v>
      </c>
      <c r="K19" s="142"/>
    </row>
    <row r="20" spans="4:11" ht="10.5" customHeight="1" hidden="1" outlineLevel="2">
      <c r="D20" s="23" t="s">
        <v>94</v>
      </c>
      <c r="J20" s="142">
        <f>IF(TS_Mth_End,EOMONTH(DATE(YEAR(TS_Start_Date)+IF(MONTH(TS_Start_Date)&gt;DD_TS_Fin_YE_Mth,1,0),DD_TS_Fin_YE_Mth,1),0),DATE(YEAR(TS_Start_Date)+IF(TS_Start_Date&gt;DATE(YEAR(TS_Start_Date),DD_TS_Fin_YE_Mth,DD_TS_Fin_YE_Day),1,0),DD_TS_Fin_YE_Mth,DD_TS_Fin_YE_Day))</f>
        <v>40543</v>
      </c>
      <c r="K20" s="142"/>
    </row>
    <row r="21" spans="4:11" ht="10.5" customHeight="1" hidden="1" outlineLevel="2">
      <c r="D21" s="23" t="s">
        <v>73</v>
      </c>
      <c r="J21" s="141">
        <f>INDEX(LU_Pers_In_Yr,MATCH(TS_Periodicity,LU_Periodicity,0))</f>
        <v>12</v>
      </c>
      <c r="K21" s="141"/>
    </row>
    <row r="22" spans="4:11" ht="10.5" customHeight="1" hidden="1" outlineLevel="2">
      <c r="D22" s="23" t="s">
        <v>95</v>
      </c>
      <c r="J22" s="141">
        <f>Mths_In_Yr/TS_Pers_In_Yr</f>
        <v>1</v>
      </c>
      <c r="K22" s="141"/>
    </row>
    <row r="23" spans="4:11" ht="10.5" customHeight="1" hidden="1" outlineLevel="2">
      <c r="D23" s="23" t="s">
        <v>96</v>
      </c>
      <c r="J23" s="141">
        <f>INT((((YEAR(TS_Start_Date)-YEAR(TS_Per_1_FY_Start_Date))*Mths_In_Yr+MONTH(TS_Start_Date)-MONTH(TS_Per_1_FY_Start_Date)+1+IF(TS_Mth_End,0,IF(TS_Start_Date&gt;(EDATE(TS_Per_1_FY_Start_Date,(YEAR(TS_Start_Date)-YEAR(TS_Per_1_FY_Start_Date))*Mths_In_Yr+MONTH(TS_Start_Date)-MONTH(TS_Per_1_FY_Start_Date)+1)-1),1,0)-IF(TS_Start_Date&lt;EDATE(TS_Per_1_FY_Start_Date,(YEAR(TS_Start_Date)-YEAR(TS_Per_1_FY_Start_Date))*Mths_In_Yr+MONTH(TS_Start_Date)-MONTH(TS_Per_1_FY_Start_Date)),1,0)))-1)/TS_Mths_In_Per)+1</f>
        <v>1</v>
      </c>
      <c r="K23" s="141"/>
    </row>
    <row r="24" spans="4:11" ht="10.5" customHeight="1" hidden="1" outlineLevel="2">
      <c r="D24" s="23" t="s">
        <v>97</v>
      </c>
      <c r="J24" s="142">
        <f>IF(TS_Mth_End,EOMONTH(EDATE(TS_Per_1_FY_Start_Date,(TS_Per_1_Number-1)*TS_Mths_In_Per-1),0)+1,EDATE(TS_Per_1_FY_Start_Date,(TS_Per_1_Number-1)*TS_Mths_In_Per))</f>
        <v>40179</v>
      </c>
      <c r="K24" s="142"/>
    </row>
    <row r="25" spans="4:11" ht="10.5" customHeight="1" hidden="1" outlineLevel="2">
      <c r="D25" s="23" t="s">
        <v>98</v>
      </c>
      <c r="J25" s="142">
        <f>IF(TS_Mth_End,EOMONTH(EDATE(TS_Per_1_FY_Start_Date,TS_Per_1_Number*TS_Mths_In_Per-1),0),EDATE(TS_Per_1_FY_Start_Date,TS_Per_1_Number*TS_Mths_In_Per)-1)</f>
        <v>40209</v>
      </c>
      <c r="K25" s="142"/>
    </row>
    <row r="26" spans="4:11" ht="15.75" customHeight="1" collapsed="1">
      <c r="D26" s="23" t="s">
        <v>40</v>
      </c>
      <c r="J26" s="145">
        <v>2</v>
      </c>
      <c r="K26" s="132"/>
    </row>
    <row r="27" spans="4:11" ht="10.5" customHeight="1" hidden="1" outlineLevel="2">
      <c r="D27" s="23" t="s">
        <v>99</v>
      </c>
      <c r="J27" s="144" t="str">
        <f>INDEX(LU_Denom,DD_TS_Denom)</f>
        <v>$Millions</v>
      </c>
      <c r="K27" s="144"/>
    </row>
    <row r="28" ht="10.5" collapsed="1"/>
    <row r="29" ht="11.25">
      <c r="C29" s="22" t="s">
        <v>100</v>
      </c>
    </row>
    <row r="30" ht="10.5"/>
    <row r="31" spans="4:11" ht="17.25" customHeight="1">
      <c r="D31" s="23" t="s">
        <v>101</v>
      </c>
      <c r="J31" s="145" t="b">
        <v>1</v>
      </c>
      <c r="K31" s="132"/>
    </row>
    <row r="32" spans="4:11" ht="10.5">
      <c r="D32" s="23" t="s">
        <v>102</v>
      </c>
      <c r="J32" s="146">
        <v>3</v>
      </c>
      <c r="K32" s="147"/>
    </row>
    <row r="33" spans="4:11" ht="10.5">
      <c r="D33" s="23" t="s">
        <v>103</v>
      </c>
      <c r="J33" s="146">
        <v>0</v>
      </c>
      <c r="K33" s="147"/>
    </row>
    <row r="34" spans="4:11" ht="10.5" customHeight="1" hidden="1" outlineLevel="2">
      <c r="D34" s="23" t="s">
        <v>104</v>
      </c>
      <c r="J34" s="148" t="s">
        <v>125</v>
      </c>
      <c r="K34" s="149"/>
    </row>
    <row r="35" spans="4:11" ht="10.5" customHeight="1" hidden="1" outlineLevel="2">
      <c r="D35" s="23" t="s">
        <v>105</v>
      </c>
      <c r="J35" s="148" t="s">
        <v>126</v>
      </c>
      <c r="K35" s="149"/>
    </row>
    <row r="36" spans="4:11" ht="10.5" customHeight="1" hidden="1" outlineLevel="2">
      <c r="D36" s="23" t="s">
        <v>106</v>
      </c>
      <c r="J36" s="148" t="s">
        <v>127</v>
      </c>
      <c r="K36" s="149"/>
    </row>
    <row r="37" ht="10.5" collapsed="1"/>
    <row r="38" ht="11.25">
      <c r="C38" s="22" t="s">
        <v>107</v>
      </c>
    </row>
    <row r="39" ht="10.5"/>
    <row r="40" spans="4:11" ht="15.75" customHeight="1">
      <c r="D40" s="23" t="s">
        <v>50</v>
      </c>
      <c r="J40" s="145">
        <v>1</v>
      </c>
      <c r="K40" s="132"/>
    </row>
    <row r="41" spans="4:11" ht="10.5">
      <c r="D41" s="23" t="s">
        <v>108</v>
      </c>
      <c r="J41" s="146">
        <v>3</v>
      </c>
      <c r="K41" s="147"/>
    </row>
    <row r="42" spans="4:11" ht="10.5">
      <c r="D42" s="23" t="s">
        <v>109</v>
      </c>
      <c r="J42" s="150">
        <v>41275</v>
      </c>
      <c r="K42" s="151"/>
    </row>
    <row r="43" ht="10.5" hidden="1" outlineLevel="2"/>
    <row r="44" ht="10.5" hidden="1" outlineLevel="2">
      <c r="D44" s="24" t="s">
        <v>110</v>
      </c>
    </row>
    <row r="45" ht="10.5" hidden="1" outlineLevel="2"/>
    <row r="46" spans="5:11" ht="10.5" customHeight="1" hidden="1" outlineLevel="2">
      <c r="E46" s="23" t="s">
        <v>111</v>
      </c>
      <c r="J46" s="142">
        <f>TS_Proj_Start_Date-1</f>
        <v>40268</v>
      </c>
      <c r="K46" s="142"/>
    </row>
    <row r="47" spans="5:11" ht="10.5" customHeight="1" hidden="1" outlineLevel="2">
      <c r="E47" s="23" t="s">
        <v>112</v>
      </c>
      <c r="J47" s="143">
        <f>IF(TS_Data_End_Date&lt;TS_Start_Date,0,MAX(0,INT((((YEAR(TS_Data_End_Date)-YEAR(TS_Per_1_FY_Start_Date))*Mths_In_Yr+MONTH(TS_Data_End_Date)-MONTH(TS_Per_1_FY_Start_Date)+1+IF(TS_Mth_End,0,IF(TS_Data_End_Date&gt;(EDATE(TS_Per_1_FY_Start_Date,(YEAR(TS_Data_End_Date)-YEAR(TS_Per_1_FY_Start_Date))*Mths_In_Yr+MONTH(TS_Data_End_Date)-MONTH(TS_Per_1_FY_Start_Date)+1)-1),1,0)-IF(TS_Data_End_Date&lt;EDATE(TS_Per_1_FY_Start_Date,(YEAR(TS_Data_End_Date)-YEAR(TS_Per_1_FY_Start_Date))*Mths_In_Yr+MONTH(TS_Data_End_Date)-MONTH(TS_Per_1_FY_Start_Date)),1,0)))-1)/TS_Mths_In_Per)-TS_Per_1_Number+2))</f>
        <v>3</v>
      </c>
      <c r="K47" s="143"/>
    </row>
    <row r="48" spans="5:11" ht="10.5" customHeight="1" hidden="1" outlineLevel="2">
      <c r="E48" s="23" t="s">
        <v>113</v>
      </c>
      <c r="J48" s="141">
        <f>IF(TS_Data_Total_Pers=0,0,TS_Data_Total_Pers-IF(TS_Data_End_Date&lt;&gt;IF(TS_Data_Total_Pers=1,TS_Per_1_End_Date,IF(TS_Mth_End,EOMONTH(EDATE(TS_Per_1_FY_Start_Date,(TS_Per_1_Number+TS_Data_Total_Pers-1)*TS_Mths_In_Per-1),0),EDATE(TS_Per_1_FY_Start_Date,(TS_Per_1_Number+TS_Data_Total_Pers-1)*TS_Mths_In_Per)-1)),1,0))</f>
        <v>3</v>
      </c>
      <c r="K48" s="141"/>
    </row>
    <row r="49" spans="5:11" ht="10.5" customHeight="1" hidden="1" outlineLevel="2">
      <c r="E49" s="23" t="s">
        <v>114</v>
      </c>
      <c r="J49" s="144" t="b">
        <f>IF(TS_Data_End_Date&lt;TS_Start_Date,FALSE,IF(TS_Data_End_Date=TS_Per_1_End_Date,IF(TS_Start_Date&lt;&gt;TS_Per_1_Start_Date,TRUE,FALSE),IF(TS_Data_End_Date&lt;TS_Per_1_End_Date,TRUE,IF(TS_Data_End_Date&lt;&gt;IF(TS_Data_Total_Pers=1,TS_Per_1_End_Date,IF(TS_Mth_End,EOMONTH(EDATE(TS_Per_1_FY_Start_Date,(TS_Per_1_Number+TS_Data_Total_Pers-1)*TS_Mths_In_Per-1),0),EDATE(TS_Per_1_FY_Start_Date,(TS_Per_1_Number+TS_Data_Total_Pers-1)*TS_Mths_In_Per)-1)),TRUE,FALSE))))</f>
        <v>0</v>
      </c>
      <c r="K49" s="144"/>
    </row>
    <row r="50" ht="10.5" hidden="1" outlineLevel="2"/>
    <row r="51" ht="10.5" hidden="1" outlineLevel="2">
      <c r="D51" s="24" t="s">
        <v>115</v>
      </c>
    </row>
    <row r="52" ht="10.5" hidden="1" outlineLevel="2"/>
    <row r="53" spans="5:11" ht="10.5" customHeight="1" hidden="1" outlineLevel="2">
      <c r="E53" s="23" t="s">
        <v>116</v>
      </c>
      <c r="J53" s="142">
        <f>IF(DD_TS_Data_Term_Basis=1,IF(TS_Mth_End,EOMONTH(EDATE(TS_Per_1_FY_Start_Date,(TS_Per_1_Number+TS_Data_Pers_Ass-1)*TS_Mths_In_Per-1),0),EDATE(TS_Per_1_FY_Start_Date,(TS_Per_1_Number+TS_Data_Pers_Ass-1)*TS_Mths_In_Per)-1)+1,TS_Proj_Start_Date_Ass)</f>
        <v>40269</v>
      </c>
      <c r="K53" s="142"/>
    </row>
    <row r="54" spans="5:11" ht="10.5" customHeight="1" hidden="1" outlineLevel="2">
      <c r="E54" s="23" t="s">
        <v>93</v>
      </c>
      <c r="J54" s="142">
        <f>IF(TS_Mth_End,DATE(YEAR(TS_Proj_Per_1_FY_End_Date)-IF(TS_Proj_Per_1_FY_End_Date=EOMONTH(DATE(YEAR(TS_Proj_Per_1_FY_End_Date),Mths_In_Yr,1),0),0,1),MOD(MONTH(TS_Proj_Per_1_FY_End_Date),Mths_In_Yr)+1,1),EDATE(TS_Proj_Per_1_FY_End_Date,-Mths_In_Yr)+1)</f>
        <v>40179</v>
      </c>
      <c r="K54" s="142"/>
    </row>
    <row r="55" spans="5:11" ht="10.5" customHeight="1" hidden="1" outlineLevel="2">
      <c r="E55" s="23" t="s">
        <v>94</v>
      </c>
      <c r="J55" s="142">
        <f>IF(TS_Mth_End,EOMONTH(DATE(YEAR(TS_Proj_Start_Date)+IF(MONTH(TS_Proj_Start_Date)&gt;DD_TS_Fin_YE_Mth,1,0),DD_TS_Fin_YE_Mth,1),0),DATE(YEAR(TS_Proj_Start_Date)+IF(TS_Proj_Start_Date&gt;DATE(YEAR(TS_Proj_Start_Date),DD_TS_Fin_YE_Mth,DD_TS_Fin_YE_Day),1,0),DD_TS_Fin_YE_Mth,DD_TS_Fin_YE_Day))</f>
        <v>40543</v>
      </c>
      <c r="K55" s="142"/>
    </row>
    <row r="56" spans="5:11" ht="10.5" customHeight="1" hidden="1" outlineLevel="2">
      <c r="E56" s="23" t="s">
        <v>96</v>
      </c>
      <c r="J56" s="141">
        <f>INT((((YEAR(TS_Proj_Start_Date)-YEAR(TS_Proj_Per_1_FY_Start_Date))*Mths_In_Yr+MONTH(TS_Proj_Start_Date)-MONTH(TS_Proj_Per_1_FY_Start_Date)+1+IF(TS_Mth_End,0,IF(TS_Proj_Start_Date&gt;(EDATE(TS_Proj_Per_1_FY_Start_Date,(YEAR(TS_Proj_Start_Date)-YEAR(TS_Proj_Per_1_FY_Start_Date))*Mths_In_Yr+MONTH(TS_Proj_Start_Date)-MONTH(TS_Proj_Per_1_FY_Start_Date)+1)-1),1,0)-IF(TS_Proj_Start_Date&lt;EDATE(TS_Proj_Per_1_FY_Start_Date,(YEAR(TS_Proj_Start_Date)-YEAR(TS_Proj_Per_1_FY_Start_Date))*Mths_In_Yr+MONTH(TS_Proj_Start_Date)-MONTH(TS_Proj_Per_1_FY_Start_Date)),1,0)))-1)/TS_Mths_In_Per)+1</f>
        <v>4</v>
      </c>
      <c r="K56" s="141"/>
    </row>
    <row r="57" spans="5:11" ht="10.5" customHeight="1" hidden="1" outlineLevel="2">
      <c r="E57" s="23" t="s">
        <v>97</v>
      </c>
      <c r="J57" s="142">
        <f>IF(TS_Mth_End,EOMONTH(EDATE(TS_Proj_Per_1_FY_Start_Date,(TS_Proj_Per_1_Number-1)*TS_Mths_In_Per-1),0)+1,EDATE(TS_Proj_Per_1_FY_Start_Date,(TS_Proj_Per_1_Number-1)*TS_Mths_In_Per))</f>
        <v>40269</v>
      </c>
      <c r="K57" s="142"/>
    </row>
    <row r="58" spans="5:11" ht="10.5" customHeight="1" hidden="1" outlineLevel="2">
      <c r="E58" s="23" t="s">
        <v>98</v>
      </c>
      <c r="J58" s="142">
        <f>IF(TS_Mth_End,EOMONTH(EDATE(TS_Proj_Per_1_FY_Start_Date,TS_Proj_Per_1_Number*TS_Mths_In_Per-1),0),EDATE(TS_Proj_Per_1_FY_Start_Date,TS_Proj_Per_1_Number*TS_Mths_In_Per)-1)</f>
        <v>40298</v>
      </c>
      <c r="K58" s="142"/>
    </row>
    <row r="59" ht="10.5" collapsed="1"/>
    <row r="60" ht="10.5">
      <c r="C60" s="24" t="s">
        <v>117</v>
      </c>
    </row>
    <row r="61" spans="3:4" ht="10.5">
      <c r="C61" s="25" t="s">
        <v>118</v>
      </c>
      <c r="D61" s="23" t="s">
        <v>119</v>
      </c>
    </row>
    <row r="62" spans="3:4" ht="10.5">
      <c r="C62" s="25" t="s">
        <v>118</v>
      </c>
      <c r="D62" s="23" t="s">
        <v>120</v>
      </c>
    </row>
    <row r="63" spans="3:4" ht="10.5">
      <c r="C63" s="25" t="s">
        <v>118</v>
      </c>
      <c r="D63" s="23" t="s">
        <v>121</v>
      </c>
    </row>
    <row r="64" spans="3:4" ht="10.5">
      <c r="C64" s="25" t="s">
        <v>118</v>
      </c>
      <c r="D64" s="26" t="s">
        <v>122</v>
      </c>
    </row>
    <row r="65" spans="3:4" ht="10.5">
      <c r="C65" s="25" t="s">
        <v>118</v>
      </c>
      <c r="D65" s="26" t="s">
        <v>123</v>
      </c>
    </row>
  </sheetData>
  <sheetProtection sheet="1" objects="1" scenarios="1"/>
  <mergeCells count="36">
    <mergeCell ref="J22:K22"/>
    <mergeCell ref="J23:K23"/>
    <mergeCell ref="J24:K24"/>
    <mergeCell ref="J18:K18"/>
    <mergeCell ref="J19:K19"/>
    <mergeCell ref="J20:K20"/>
    <mergeCell ref="J21:K21"/>
    <mergeCell ref="J41:K41"/>
    <mergeCell ref="J42:K42"/>
    <mergeCell ref="B3:F3"/>
    <mergeCell ref="J11:K11"/>
    <mergeCell ref="J12:K12"/>
    <mergeCell ref="J25:K25"/>
    <mergeCell ref="J14:K14"/>
    <mergeCell ref="J15:K15"/>
    <mergeCell ref="J16:K16"/>
    <mergeCell ref="J17:K17"/>
    <mergeCell ref="J46:K46"/>
    <mergeCell ref="J26:K26"/>
    <mergeCell ref="J27:K27"/>
    <mergeCell ref="J31:K31"/>
    <mergeCell ref="J32:K32"/>
    <mergeCell ref="J33:K33"/>
    <mergeCell ref="J34:K34"/>
    <mergeCell ref="J35:K35"/>
    <mergeCell ref="J36:K36"/>
    <mergeCell ref="J40:K40"/>
    <mergeCell ref="J56:K56"/>
    <mergeCell ref="J57:K57"/>
    <mergeCell ref="J58:K58"/>
    <mergeCell ref="J47:K47"/>
    <mergeCell ref="J48:K48"/>
    <mergeCell ref="J49:K49"/>
    <mergeCell ref="J53:K53"/>
    <mergeCell ref="J54:K54"/>
    <mergeCell ref="J55:K55"/>
  </mergeCells>
  <conditionalFormatting sqref="J32">
    <cfRule type="expression" priority="1" dxfId="38" stopIfTrue="1">
      <formula>NOT(J$31)</formula>
    </cfRule>
  </conditionalFormatting>
  <conditionalFormatting sqref="J33">
    <cfRule type="expression" priority="2" dxfId="38" stopIfTrue="1">
      <formula>NOT(J$31)</formula>
    </cfRule>
  </conditionalFormatting>
  <conditionalFormatting sqref="J34">
    <cfRule type="expression" priority="3" dxfId="38" stopIfTrue="1">
      <formula>NOT(J$31)</formula>
    </cfRule>
  </conditionalFormatting>
  <conditionalFormatting sqref="J35">
    <cfRule type="expression" priority="4" dxfId="38" stopIfTrue="1">
      <formula>NOT(J$31)</formula>
    </cfRule>
  </conditionalFormatting>
  <conditionalFormatting sqref="J36">
    <cfRule type="expression" priority="5" dxfId="38" stopIfTrue="1">
      <formula>NOT(J$31)</formula>
    </cfRule>
  </conditionalFormatting>
  <conditionalFormatting sqref="J41">
    <cfRule type="expression" priority="6" dxfId="38" stopIfTrue="1">
      <formula>DD_TS_Data_Term_Basis&lt;&gt;1</formula>
    </cfRule>
  </conditionalFormatting>
  <conditionalFormatting sqref="J42">
    <cfRule type="expression" priority="7" dxfId="38" stopIfTrue="1">
      <formula>DD_TS_Data_Term_Basis&lt;&gt;2</formula>
    </cfRule>
    <cfRule type="cellIs" priority="8" dxfId="12" operator="lessThan" stopIfTrue="1">
      <formula>TS_Start_Date</formula>
    </cfRule>
  </conditionalFormatting>
  <dataValidations count="11">
    <dataValidation type="whole" showErrorMessage="1" errorTitle="0 Cell Link" error="The value in a 0 cell link must be a whole number within the control's lookup range rows." sqref="J13">
      <formula1>1</formula1>
      <formula2>ROWS(LU_Mth_Days)</formula2>
    </dataValidation>
    <dataValidation type="whole" showErrorMessage="1" errorTitle="0 Cell Link" error="The value in a 0 cell link must be a whole number within the control's lookup range rows." sqref="K13">
      <formula1>1</formula1>
      <formula2>ROWS(LU_Mth_Names)</formula2>
    </dataValidation>
    <dataValidation type="date" showInputMessage="1" showErrorMessage="1" promptTitle="Start Date" prompt="Enter the start date assumption here." errorTitle="Start Date" error="The entered start date assumption must be a valid date. For assistance, search for &quot;Date&quot; in Excel Help." sqref="J14">
      <formula1>1</formula1>
      <formula2>2862773</formula2>
    </dataValidation>
    <dataValidation type="whole" showErrorMessage="1" errorTitle="Periods" error="The entered number of periods must be a whole number between 1 and 249." sqref="J15">
      <formula1>1</formula1>
      <formula2>249</formula2>
    </dataValidation>
    <dataValidation type="whole" showErrorMessage="1" errorTitle="0 Cell Link" error="The value in a 0 cell link must be a whole number within the control's lookup range rows." sqref="J26">
      <formula1>1</formula1>
      <formula2>ROWS(LU_Denom)</formula2>
    </dataValidation>
    <dataValidation type="custom" showErrorMessage="1" errorTitle="6 Cell Link" error="The value in an option button cell link must be either &quot;TRUE&quot; or &quot;FALSE&quot;" sqref="J31">
      <formula1>ISLOGICAL(J31)</formula1>
    </dataValidation>
    <dataValidation type="whole" operator="greaterThanOrEqual" showErrorMessage="1" errorTitle="Invalid Assumption" error="Assumption must be a whole number greater than or equal to zero." sqref="J32">
      <formula1>0</formula1>
    </dataValidation>
    <dataValidation type="whole" operator="greaterThanOrEqual" showErrorMessage="1" errorTitle="Invalid Assumption" error="Assumption must be a whole number greater than or equal to zero." sqref="J33">
      <formula1>0</formula1>
    </dataValidation>
    <dataValidation type="whole" showErrorMessage="1" errorTitle="0 Cell Link" error="The value in a 0 cell link must be a whole number within the control's lookup range rows." sqref="J40">
      <formula1>1</formula1>
      <formula2>ROWS(LU_Data_Term_Basis)</formula2>
    </dataValidation>
    <dataValidation type="whole" operator="greaterThanOrEqual" showErrorMessage="1" errorTitle="Invalid Assumption" error="Assumption must be a whole number greater than or equal to zero." sqref="J41">
      <formula1>0</formula1>
    </dataValidation>
    <dataValidation type="custom" showErrorMessage="1" errorTitle="Invalid Assumption" error="Assumption must be a number." sqref="J42">
      <formula1>NOT(ISERROR(J42/1))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HL_Sheet_Main_3" tooltip="Go to Previous Sheet" display="HL_Sheet_Main_3"/>
    <hyperlink ref="C4" location="HL_Sheet_Main_5" tooltip="Go to Next Sheet" display="HL_Sheet_Main_5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300" verticalDpi="300" orientation="landscape" paperSize="9" r:id="rId3"/>
  <headerFooter alignWithMargins="0">
    <oddFooter>&amp;L&amp;"Bold"&amp;7&amp;F
&amp;A
Printed: &amp;T on &amp;D&amp;C&amp;"Bold"&amp;10Page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pane xSplit="1" ySplit="13" topLeftCell="B14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 outlineLevelCol="2"/>
  <cols>
    <col min="1" max="5" width="3.83203125" style="10" customWidth="1"/>
    <col min="6" max="12" width="11.83203125" style="10" customWidth="1"/>
    <col min="13" max="19" width="11.83203125" style="10" hidden="1" customWidth="1" outlineLevel="2"/>
    <col min="20" max="20" width="11.83203125" style="10" customWidth="1" collapsed="1"/>
    <col min="21" max="16384" width="11.83203125" style="10" customWidth="1"/>
  </cols>
  <sheetData>
    <row r="1" ht="18">
      <c r="B1" s="12" t="s">
        <v>163</v>
      </c>
    </row>
    <row r="2" ht="15">
      <c r="B2" s="11" t="str">
        <f>Model_Name</f>
        <v>SMA 14. Security &amp; Protection - Best Practice Model Example</v>
      </c>
    </row>
    <row r="3" spans="2:6" ht="10.5">
      <c r="B3" s="152" t="s">
        <v>1</v>
      </c>
      <c r="C3" s="152"/>
      <c r="D3" s="152"/>
      <c r="E3" s="152"/>
      <c r="F3" s="152"/>
    </row>
    <row r="4" spans="1:6" ht="12.75">
      <c r="A4" s="13" t="s">
        <v>4</v>
      </c>
      <c r="B4" s="14" t="s">
        <v>10</v>
      </c>
      <c r="C4" s="15" t="s">
        <v>11</v>
      </c>
      <c r="D4" s="81" t="s">
        <v>158</v>
      </c>
      <c r="E4" s="81" t="s">
        <v>159</v>
      </c>
      <c r="F4" s="59" t="s">
        <v>160</v>
      </c>
    </row>
    <row r="6" spans="2:19" ht="10.5">
      <c r="B6" s="38" t="str">
        <f>IF(TS_Data_Final_Stub,"Period End Date",IF(TS_Pers_In_Yr=1,"",TS_Per_Type_Name&amp;" Ending"))</f>
        <v>Month Ending</v>
      </c>
      <c r="J6" s="62" t="str">
        <f aca="true" t="shared" si="0" ref="J6:S6">IF(J12=0,IF(TS_Data_Final_Stub,"- ",IF(TS_Pers_In_Yr=1,"",0)),IF(TS_Data_Final_Stub,J9,IF(TS_Pers_In_Yr=1,"",LEFT(INDEX(LU_Mth_Names,MONTH(J9)),3)&amp;"-"&amp;RIGHT(YEAR(J9),2))&amp;" "))</f>
        <v>Jan-10 </v>
      </c>
      <c r="K6" s="62" t="str">
        <f t="shared" si="0"/>
        <v>Feb-10 </v>
      </c>
      <c r="L6" s="62" t="str">
        <f t="shared" si="0"/>
        <v>Mar-10 </v>
      </c>
      <c r="M6" s="62">
        <f t="shared" si="0"/>
        <v>0</v>
      </c>
      <c r="N6" s="62">
        <f t="shared" si="0"/>
        <v>0</v>
      </c>
      <c r="O6" s="62">
        <f t="shared" si="0"/>
        <v>0</v>
      </c>
      <c r="P6" s="62">
        <f t="shared" si="0"/>
        <v>0</v>
      </c>
      <c r="Q6" s="62">
        <f t="shared" si="0"/>
        <v>0</v>
      </c>
      <c r="R6" s="62">
        <f t="shared" si="0"/>
        <v>0</v>
      </c>
      <c r="S6" s="62">
        <f t="shared" si="0"/>
        <v>0</v>
      </c>
    </row>
    <row r="7" spans="2:19" ht="10.5">
      <c r="B7" s="42" t="str">
        <f>IF(TS_Data_Final_Stub,"Period Title",IF(TS_Pers_In_Yr=1,Yr_Name&amp;" Ending "&amp;DAY(TS_Per_1_End_Date)&amp;" "&amp;INDEX(LU_Mth_Names,DD_TS_Fin_YE_Mth),TS_Per_Type_Name))</f>
        <v>Month</v>
      </c>
      <c r="C7" s="43"/>
      <c r="D7" s="43"/>
      <c r="E7" s="43"/>
      <c r="F7" s="43"/>
      <c r="G7" s="43"/>
      <c r="H7" s="43"/>
      <c r="I7" s="43"/>
      <c r="J7" s="44" t="str">
        <f aca="true" t="shared" si="1" ref="J7:S7">IF(J12=0,"- ",IF(TS_Pers_In_Yr=1,J10&amp;" ",J11)&amp;IF(CB_TS_Show_Hist_Fcast_Pers,IF(J12&lt;=TS_Actual_Pers,TS_Actual_Per_Title,IF(J12&lt;=TS_Actual_Pers+TS_Budget_Pers,TS_Budget_Per_Title,TS_Fcast_Per_Title))&amp;" ",""))</f>
        <v>M1 (A) </v>
      </c>
      <c r="K7" s="44" t="str">
        <f t="shared" si="1"/>
        <v>M2 (A) </v>
      </c>
      <c r="L7" s="44" t="str">
        <f t="shared" si="1"/>
        <v>M3 (A) </v>
      </c>
      <c r="M7" s="44" t="str">
        <f t="shared" si="1"/>
        <v>- </v>
      </c>
      <c r="N7" s="44" t="str">
        <f t="shared" si="1"/>
        <v>- </v>
      </c>
      <c r="O7" s="44" t="str">
        <f t="shared" si="1"/>
        <v>- </v>
      </c>
      <c r="P7" s="44" t="str">
        <f t="shared" si="1"/>
        <v>- </v>
      </c>
      <c r="Q7" s="44" t="str">
        <f t="shared" si="1"/>
        <v>- </v>
      </c>
      <c r="R7" s="44" t="str">
        <f t="shared" si="1"/>
        <v>- </v>
      </c>
      <c r="S7" s="44" t="str">
        <f t="shared" si="1"/>
        <v>- </v>
      </c>
    </row>
    <row r="8" spans="2:19" ht="10.5" hidden="1" outlineLevel="2">
      <c r="B8" s="23" t="s">
        <v>143</v>
      </c>
      <c r="J8" s="39">
        <f aca="true" t="shared" si="2" ref="J8:S8">IF(J12=0,0,IF(J12=1,TS_Start_Date,I9+1))</f>
        <v>40179</v>
      </c>
      <c r="K8" s="39">
        <f t="shared" si="2"/>
        <v>40210</v>
      </c>
      <c r="L8" s="39">
        <f t="shared" si="2"/>
        <v>40238</v>
      </c>
      <c r="M8" s="39">
        <f t="shared" si="2"/>
        <v>0</v>
      </c>
      <c r="N8" s="39">
        <f t="shared" si="2"/>
        <v>0</v>
      </c>
      <c r="O8" s="39">
        <f t="shared" si="2"/>
        <v>0</v>
      </c>
      <c r="P8" s="39">
        <f t="shared" si="2"/>
        <v>0</v>
      </c>
      <c r="Q8" s="39">
        <f t="shared" si="2"/>
        <v>0</v>
      </c>
      <c r="R8" s="39">
        <f t="shared" si="2"/>
        <v>0</v>
      </c>
      <c r="S8" s="39">
        <f t="shared" si="2"/>
        <v>0</v>
      </c>
    </row>
    <row r="9" spans="2:19" ht="10.5" hidden="1" outlineLevel="2">
      <c r="B9" s="23" t="s">
        <v>144</v>
      </c>
      <c r="J9" s="39">
        <f aca="true" t="shared" si="3" ref="J9:S9">IF(J12=0,0,MIN(TS_Data_End_Date,IF(J8&lt;=TS_Start_Date,TS_Per_1_End_Date,IF(TS_Mth_End,EOMONTH(EDATE(TS_Per_1_FY_Start_Date,(TS_Per_1_Number+J12-1)*TS_Mths_In_Per-1),0),EDATE(TS_Per_1_FY_Start_Date,(TS_Per_1_Number+J12-1)*TS_Mths_In_Per)-1))))</f>
        <v>40209</v>
      </c>
      <c r="K9" s="39">
        <f t="shared" si="3"/>
        <v>40237</v>
      </c>
      <c r="L9" s="39">
        <f t="shared" si="3"/>
        <v>40268</v>
      </c>
      <c r="M9" s="39">
        <f t="shared" si="3"/>
        <v>0</v>
      </c>
      <c r="N9" s="39">
        <f t="shared" si="3"/>
        <v>0</v>
      </c>
      <c r="O9" s="39">
        <f t="shared" si="3"/>
        <v>0</v>
      </c>
      <c r="P9" s="39">
        <f t="shared" si="3"/>
        <v>0</v>
      </c>
      <c r="Q9" s="39">
        <f t="shared" si="3"/>
        <v>0</v>
      </c>
      <c r="R9" s="39">
        <f t="shared" si="3"/>
        <v>0</v>
      </c>
      <c r="S9" s="39">
        <f t="shared" si="3"/>
        <v>0</v>
      </c>
    </row>
    <row r="10" spans="2:19" ht="10.5" hidden="1" outlineLevel="2">
      <c r="B10" s="23" t="s">
        <v>145</v>
      </c>
      <c r="J10" s="63">
        <f aca="true" t="shared" si="4" ref="J10:S10">IF(J12=0,0,YEAR(TS_Per_1_FY_End_Date)+INT((TS_Per_1_Number+J12-2)/TS_Pers_In_Yr))</f>
        <v>2010</v>
      </c>
      <c r="K10" s="63">
        <f t="shared" si="4"/>
        <v>2010</v>
      </c>
      <c r="L10" s="63">
        <f t="shared" si="4"/>
        <v>2010</v>
      </c>
      <c r="M10" s="63">
        <f t="shared" si="4"/>
        <v>0</v>
      </c>
      <c r="N10" s="63">
        <f t="shared" si="4"/>
        <v>0</v>
      </c>
      <c r="O10" s="63">
        <f t="shared" si="4"/>
        <v>0</v>
      </c>
      <c r="P10" s="63">
        <f t="shared" si="4"/>
        <v>0</v>
      </c>
      <c r="Q10" s="63">
        <f t="shared" si="4"/>
        <v>0</v>
      </c>
      <c r="R10" s="63">
        <f t="shared" si="4"/>
        <v>0</v>
      </c>
      <c r="S10" s="63">
        <f t="shared" si="4"/>
        <v>0</v>
      </c>
    </row>
    <row r="11" spans="2:19" ht="10.5" hidden="1" outlineLevel="2">
      <c r="B11" s="23" t="s">
        <v>146</v>
      </c>
      <c r="J11" s="40" t="str">
        <f aca="true" t="shared" si="5" ref="J11:S11">IF(J12=0,"-",IF(TS_Pers_In_Yr=1,Yr_Name,TS_Per_Type_Prefix&amp;IF(MOD(TS_Per_1_Number+J12-1,TS_Pers_In_Yr)=0,TS_Pers_In_Yr,MOD(TS_Per_1_Number+J12-1,TS_Pers_In_Yr))))&amp;" "</f>
        <v>M1 </v>
      </c>
      <c r="K11" s="40" t="str">
        <f t="shared" si="5"/>
        <v>M2 </v>
      </c>
      <c r="L11" s="40" t="str">
        <f t="shared" si="5"/>
        <v>M3 </v>
      </c>
      <c r="M11" s="40" t="str">
        <f t="shared" si="5"/>
        <v>- </v>
      </c>
      <c r="N11" s="40" t="str">
        <f t="shared" si="5"/>
        <v>- </v>
      </c>
      <c r="O11" s="40" t="str">
        <f t="shared" si="5"/>
        <v>- </v>
      </c>
      <c r="P11" s="40" t="str">
        <f t="shared" si="5"/>
        <v>- </v>
      </c>
      <c r="Q11" s="40" t="str">
        <f t="shared" si="5"/>
        <v>- </v>
      </c>
      <c r="R11" s="40" t="str">
        <f t="shared" si="5"/>
        <v>- </v>
      </c>
      <c r="S11" s="40" t="str">
        <f t="shared" si="5"/>
        <v>- </v>
      </c>
    </row>
    <row r="12" spans="2:19" ht="10.5" hidden="1" outlineLevel="2">
      <c r="B12" s="23" t="s">
        <v>147</v>
      </c>
      <c r="J12" s="41">
        <f aca="true" t="shared" si="6" ref="J12:S12">IF(TS_Data_Total_Pers=0,0,IF(COLUMN(J12)=COLUMN($J12),1,IF(I12=0,0,IF(I9=TS_Data_End_Date,0,I12+1))))</f>
        <v>1</v>
      </c>
      <c r="K12" s="41">
        <f t="shared" si="6"/>
        <v>2</v>
      </c>
      <c r="L12" s="41">
        <f t="shared" si="6"/>
        <v>3</v>
      </c>
      <c r="M12" s="41">
        <f t="shared" si="6"/>
        <v>0</v>
      </c>
      <c r="N12" s="41">
        <f t="shared" si="6"/>
        <v>0</v>
      </c>
      <c r="O12" s="41">
        <f t="shared" si="6"/>
        <v>0</v>
      </c>
      <c r="P12" s="41">
        <f t="shared" si="6"/>
        <v>0</v>
      </c>
      <c r="Q12" s="41">
        <f t="shared" si="6"/>
        <v>0</v>
      </c>
      <c r="R12" s="41">
        <f t="shared" si="6"/>
        <v>0</v>
      </c>
      <c r="S12" s="41">
        <f t="shared" si="6"/>
        <v>0</v>
      </c>
    </row>
    <row r="13" spans="2:19" ht="10.5" hidden="1" outlineLevel="2">
      <c r="B13" s="45" t="s">
        <v>148</v>
      </c>
      <c r="C13" s="43"/>
      <c r="D13" s="43"/>
      <c r="E13" s="43"/>
      <c r="F13" s="43"/>
      <c r="G13" s="43"/>
      <c r="H13" s="43"/>
      <c r="I13" s="43"/>
      <c r="J13" s="64" t="str">
        <f>IF(J12=0,"- ",J10&amp;"-"&amp;J11)</f>
        <v>2010-M1 </v>
      </c>
      <c r="K13" s="64" t="str">
        <f aca="true" t="shared" si="7" ref="K13:S13">IF(K12=0,"- ",K10&amp;"-"&amp;K11)</f>
        <v>2010-M2 </v>
      </c>
      <c r="L13" s="64" t="str">
        <f t="shared" si="7"/>
        <v>2010-M3 </v>
      </c>
      <c r="M13" s="64" t="str">
        <f t="shared" si="7"/>
        <v>- </v>
      </c>
      <c r="N13" s="64" t="str">
        <f t="shared" si="7"/>
        <v>- </v>
      </c>
      <c r="O13" s="64" t="str">
        <f t="shared" si="7"/>
        <v>- </v>
      </c>
      <c r="P13" s="64" t="str">
        <f t="shared" si="7"/>
        <v>- </v>
      </c>
      <c r="Q13" s="64" t="str">
        <f t="shared" si="7"/>
        <v>- </v>
      </c>
      <c r="R13" s="64" t="str">
        <f t="shared" si="7"/>
        <v>- </v>
      </c>
      <c r="S13" s="64" t="str">
        <f t="shared" si="7"/>
        <v>- </v>
      </c>
    </row>
    <row r="14" ht="10.5" collapsed="1"/>
    <row r="16" ht="12.75">
      <c r="B16" s="66" t="s">
        <v>164</v>
      </c>
    </row>
    <row r="18" spans="3:10" ht="10.5">
      <c r="C18" s="68" t="s">
        <v>165</v>
      </c>
      <c r="J18" s="109" t="str">
        <f>INDEX(LU_Denom,DD_TS_Denom)</f>
        <v>$Millions</v>
      </c>
    </row>
    <row r="19" spans="3:19" ht="10.5">
      <c r="C19" s="156" t="s">
        <v>166</v>
      </c>
      <c r="D19" s="156"/>
      <c r="E19" s="156"/>
      <c r="F19" s="156"/>
      <c r="G19" s="156"/>
      <c r="J19" s="69">
        <v>100</v>
      </c>
      <c r="K19" s="69">
        <v>101</v>
      </c>
      <c r="L19" s="69">
        <v>102</v>
      </c>
      <c r="M19" s="69">
        <v>103</v>
      </c>
      <c r="N19" s="69">
        <v>104</v>
      </c>
      <c r="O19" s="69">
        <v>105</v>
      </c>
      <c r="P19" s="69">
        <v>106</v>
      </c>
      <c r="Q19" s="69">
        <v>107</v>
      </c>
      <c r="R19" s="69">
        <v>108</v>
      </c>
      <c r="S19" s="69">
        <v>109</v>
      </c>
    </row>
    <row r="20" spans="3:19" ht="10.5">
      <c r="C20" s="156" t="s">
        <v>167</v>
      </c>
      <c r="D20" s="156"/>
      <c r="E20" s="156"/>
      <c r="F20" s="156"/>
      <c r="G20" s="156"/>
      <c r="J20" s="69">
        <v>101</v>
      </c>
      <c r="K20" s="69">
        <v>102</v>
      </c>
      <c r="L20" s="69">
        <v>103</v>
      </c>
      <c r="M20" s="69">
        <v>104</v>
      </c>
      <c r="N20" s="69">
        <v>105</v>
      </c>
      <c r="O20" s="69">
        <v>106</v>
      </c>
      <c r="P20" s="69">
        <v>107</v>
      </c>
      <c r="Q20" s="69">
        <v>108</v>
      </c>
      <c r="R20" s="69">
        <v>109</v>
      </c>
      <c r="S20" s="69">
        <v>110</v>
      </c>
    </row>
    <row r="21" spans="3:19" ht="10.5">
      <c r="C21" s="156" t="s">
        <v>168</v>
      </c>
      <c r="D21" s="156"/>
      <c r="E21" s="156"/>
      <c r="F21" s="156"/>
      <c r="G21" s="156"/>
      <c r="J21" s="69">
        <v>102</v>
      </c>
      <c r="K21" s="69">
        <v>103</v>
      </c>
      <c r="L21" s="69">
        <v>104</v>
      </c>
      <c r="M21" s="69">
        <v>105</v>
      </c>
      <c r="N21" s="69">
        <v>106</v>
      </c>
      <c r="O21" s="69">
        <v>107</v>
      </c>
      <c r="P21" s="69">
        <v>108</v>
      </c>
      <c r="Q21" s="69">
        <v>109</v>
      </c>
      <c r="R21" s="69">
        <v>110</v>
      </c>
      <c r="S21" s="69">
        <v>111</v>
      </c>
    </row>
    <row r="22" spans="3:19" ht="10.5">
      <c r="C22" s="156" t="s">
        <v>169</v>
      </c>
      <c r="D22" s="156"/>
      <c r="E22" s="156"/>
      <c r="F22" s="156"/>
      <c r="G22" s="156"/>
      <c r="J22" s="69">
        <v>103</v>
      </c>
      <c r="K22" s="69">
        <v>104</v>
      </c>
      <c r="L22" s="69">
        <v>105</v>
      </c>
      <c r="M22" s="69">
        <v>106</v>
      </c>
      <c r="N22" s="69">
        <v>107</v>
      </c>
      <c r="O22" s="69">
        <v>108</v>
      </c>
      <c r="P22" s="69">
        <v>109</v>
      </c>
      <c r="Q22" s="69">
        <v>110</v>
      </c>
      <c r="R22" s="69">
        <v>111</v>
      </c>
      <c r="S22" s="69">
        <v>112</v>
      </c>
    </row>
    <row r="23" spans="3:19" ht="10.5">
      <c r="C23" s="156" t="s">
        <v>170</v>
      </c>
      <c r="D23" s="156"/>
      <c r="E23" s="156"/>
      <c r="F23" s="156"/>
      <c r="G23" s="156"/>
      <c r="J23" s="69">
        <v>104</v>
      </c>
      <c r="K23" s="69">
        <v>105</v>
      </c>
      <c r="L23" s="69">
        <v>106</v>
      </c>
      <c r="M23" s="69">
        <v>107</v>
      </c>
      <c r="N23" s="69">
        <v>108</v>
      </c>
      <c r="O23" s="69">
        <v>109</v>
      </c>
      <c r="P23" s="69">
        <v>110</v>
      </c>
      <c r="Q23" s="69">
        <v>111</v>
      </c>
      <c r="R23" s="69">
        <v>112</v>
      </c>
      <c r="S23" s="69">
        <v>113</v>
      </c>
    </row>
    <row r="24" spans="3:19" ht="10.5">
      <c r="C24" s="156" t="s">
        <v>171</v>
      </c>
      <c r="D24" s="156"/>
      <c r="E24" s="156"/>
      <c r="F24" s="156"/>
      <c r="G24" s="156"/>
      <c r="J24" s="71">
        <v>105</v>
      </c>
      <c r="K24" s="71">
        <v>106</v>
      </c>
      <c r="L24" s="71">
        <v>107</v>
      </c>
      <c r="M24" s="71">
        <v>108</v>
      </c>
      <c r="N24" s="71">
        <v>109</v>
      </c>
      <c r="O24" s="71">
        <v>110</v>
      </c>
      <c r="P24" s="71">
        <v>111</v>
      </c>
      <c r="Q24" s="71">
        <v>112</v>
      </c>
      <c r="R24" s="71">
        <v>113</v>
      </c>
      <c r="S24" s="71">
        <v>114</v>
      </c>
    </row>
    <row r="25" spans="3:19" ht="10.5">
      <c r="C25" s="70" t="str">
        <f>"Total "&amp;B16</f>
        <v>Total Revenue</v>
      </c>
      <c r="J25" s="72">
        <f aca="true" t="shared" si="8" ref="J25:S25">SUM(J19:J24)</f>
        <v>615</v>
      </c>
      <c r="K25" s="72">
        <f t="shared" si="8"/>
        <v>621</v>
      </c>
      <c r="L25" s="72">
        <f t="shared" si="8"/>
        <v>627</v>
      </c>
      <c r="M25" s="72">
        <f t="shared" si="8"/>
        <v>633</v>
      </c>
      <c r="N25" s="72">
        <f t="shared" si="8"/>
        <v>639</v>
      </c>
      <c r="O25" s="72">
        <f t="shared" si="8"/>
        <v>645</v>
      </c>
      <c r="P25" s="72">
        <f t="shared" si="8"/>
        <v>651</v>
      </c>
      <c r="Q25" s="72">
        <f t="shared" si="8"/>
        <v>657</v>
      </c>
      <c r="R25" s="72">
        <f t="shared" si="8"/>
        <v>663</v>
      </c>
      <c r="S25" s="72">
        <f t="shared" si="8"/>
        <v>669</v>
      </c>
    </row>
  </sheetData>
  <sheetProtection sheet="1" objects="1" scenarios="1"/>
  <mergeCells count="7">
    <mergeCell ref="B3:F3"/>
    <mergeCell ref="C19:G19"/>
    <mergeCell ref="C20:G20"/>
    <mergeCell ref="C21:G21"/>
    <mergeCell ref="C22:G22"/>
    <mergeCell ref="C23:G23"/>
    <mergeCell ref="C24:G24"/>
  </mergeCells>
  <conditionalFormatting sqref="J19:S19">
    <cfRule type="expression" priority="1" dxfId="45" stopIfTrue="1">
      <formula>J$12=0</formula>
    </cfRule>
  </conditionalFormatting>
  <conditionalFormatting sqref="J20:S20">
    <cfRule type="expression" priority="2" dxfId="45" stopIfTrue="1">
      <formula>J$12=0</formula>
    </cfRule>
  </conditionalFormatting>
  <conditionalFormatting sqref="J21:S21">
    <cfRule type="expression" priority="3" dxfId="45" stopIfTrue="1">
      <formula>J$12=0</formula>
    </cfRule>
  </conditionalFormatting>
  <conditionalFormatting sqref="J22:S22">
    <cfRule type="expression" priority="4" dxfId="45" stopIfTrue="1">
      <formula>J$12=0</formula>
    </cfRule>
  </conditionalFormatting>
  <conditionalFormatting sqref="J23:S23">
    <cfRule type="expression" priority="5" dxfId="45" stopIfTrue="1">
      <formula>J$12=0</formula>
    </cfRule>
  </conditionalFormatting>
  <conditionalFormatting sqref="J24:S24">
    <cfRule type="expression" priority="6" dxfId="45" stopIfTrue="1">
      <formula>J$12=0</formula>
    </cfRule>
  </conditionalFormatting>
  <conditionalFormatting sqref="J25:S25">
    <cfRule type="expression" priority="7" dxfId="45" stopIfTrue="1">
      <formula>J$12=0</formula>
    </cfRule>
  </conditionalFormatting>
  <dataValidations count="1">
    <dataValidation type="custom" showErrorMessage="1" errorTitle="Invalid Assumption" error="Assumption must be a number." sqref="J19:S24">
      <formula1>NOT(ISERROR(J19/1))</formula1>
    </dataValidation>
  </dataValidations>
  <hyperlinks>
    <hyperlink ref="B3" location="HL_Home" tooltip="Go to Table of Contents" display="HL_Home"/>
    <hyperlink ref="A4" location="$B$14" tooltip="Go to Top of Sheet" display="$B$14"/>
    <hyperlink ref="B4" location="HL_Sheet_Main_4" tooltip="Go to Previous Sheet" display="HL_Sheet_Main_4"/>
    <hyperlink ref="C4" location="HL_Sheet_Main_13" tooltip="Go to Next Sheet" display="HL_Sheet_Main_13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300" verticalDpi="300" orientation="landscape" paperSize="9" r:id="rId1"/>
  <headerFooter alignWithMargins="0">
    <oddFooter>&amp;L&amp;"Bold"&amp;7&amp;F
&amp;A
Printed: &amp;T on &amp;D&amp;C&amp;"Bold"&amp;10Page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pane xSplit="1" ySplit="13" topLeftCell="B14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 outlineLevelCol="2"/>
  <cols>
    <col min="1" max="5" width="3.83203125" style="10" customWidth="1"/>
    <col min="6" max="9" width="11.83203125" style="10" customWidth="1"/>
    <col min="10" max="12" width="11.83203125" style="10" hidden="1" customWidth="1" outlineLevel="2"/>
    <col min="13" max="13" width="11.83203125" style="10" customWidth="1" collapsed="1"/>
    <col min="14" max="16384" width="11.83203125" style="10" customWidth="1"/>
  </cols>
  <sheetData>
    <row r="1" ht="18">
      <c r="B1" s="12" t="s">
        <v>172</v>
      </c>
    </row>
    <row r="2" ht="15">
      <c r="B2" s="11" t="str">
        <f>Model_Name</f>
        <v>SMA 14. Security &amp; Protection - Best Practice Model Example</v>
      </c>
    </row>
    <row r="3" spans="2:6" ht="10.5">
      <c r="B3" s="152" t="s">
        <v>1</v>
      </c>
      <c r="C3" s="152"/>
      <c r="D3" s="152"/>
      <c r="E3" s="152"/>
      <c r="F3" s="152"/>
    </row>
    <row r="4" spans="1:6" ht="12.75">
      <c r="A4" s="13" t="s">
        <v>4</v>
      </c>
      <c r="B4" s="14" t="s">
        <v>10</v>
      </c>
      <c r="C4" s="15" t="s">
        <v>11</v>
      </c>
      <c r="D4" s="81" t="s">
        <v>158</v>
      </c>
      <c r="E4" s="81" t="s">
        <v>159</v>
      </c>
      <c r="F4" s="59" t="s">
        <v>160</v>
      </c>
    </row>
    <row r="6" spans="2:19" ht="10.5">
      <c r="B6" s="38" t="str">
        <f>IF(TS_Data_Final_Stub,"Period End Date",IF(TS_Pers_In_Yr=1,"",TS_Per_Type_Name&amp;" Ending"))</f>
        <v>Month Ending</v>
      </c>
      <c r="J6" s="62">
        <f aca="true" t="shared" si="0" ref="J6:S6">IF(J12=0,IF(TS_Data_Final_Stub,"- ",IF(TS_Pers_In_Yr=1,"",0)),IF(TS_Data_Final_Stub,J9,IF(TS_Pers_In_Yr=1,"",LEFT(INDEX(LU_Mth_Names,MONTH(J9)),3)&amp;"-"&amp;RIGHT(YEAR(J9),2))&amp;" "))</f>
        <v>0</v>
      </c>
      <c r="K6" s="62">
        <f t="shared" si="0"/>
        <v>0</v>
      </c>
      <c r="L6" s="62">
        <f t="shared" si="0"/>
        <v>0</v>
      </c>
      <c r="M6" s="62" t="str">
        <f t="shared" si="0"/>
        <v>Apr-10 </v>
      </c>
      <c r="N6" s="62" t="str">
        <f t="shared" si="0"/>
        <v>May-10 </v>
      </c>
      <c r="O6" s="62" t="str">
        <f t="shared" si="0"/>
        <v>Jun-10 </v>
      </c>
      <c r="P6" s="62" t="str">
        <f t="shared" si="0"/>
        <v>Jul-10 </v>
      </c>
      <c r="Q6" s="62" t="str">
        <f t="shared" si="0"/>
        <v>Aug-10 </v>
      </c>
      <c r="R6" s="62" t="str">
        <f t="shared" si="0"/>
        <v>Sep-10 </v>
      </c>
      <c r="S6" s="62" t="str">
        <f t="shared" si="0"/>
        <v>Oct-10 </v>
      </c>
    </row>
    <row r="7" spans="2:19" ht="10.5">
      <c r="B7" s="42" t="str">
        <f>IF(TS_Data_Final_Stub,"Period Title",IF(TS_Pers_In_Yr=1,Yr_Name&amp;" Ending "&amp;DAY(TS_Per_1_End_Date)&amp;" "&amp;INDEX(LU_Mth_Names,DD_TS_Fin_YE_Mth),TS_Per_Type_Name))</f>
        <v>Month</v>
      </c>
      <c r="C7" s="43"/>
      <c r="D7" s="43"/>
      <c r="E7" s="43"/>
      <c r="F7" s="43"/>
      <c r="G7" s="43"/>
      <c r="H7" s="43"/>
      <c r="I7" s="43"/>
      <c r="J7" s="44" t="str">
        <f aca="true" t="shared" si="1" ref="J7:S7">IF(J12=0," - ",IF(TS_Pers_In_Yr=1,J10&amp;" ",J11)&amp;IF(CB_TS_Show_Hist_Fcast_Pers,IF(J12+TS_Data_Full_Pers&lt;=TS_Actual_Pers,TS_Actual_Per_Title,IF(J12+TS_Data_Full_Pers&lt;=TS_Actual_Pers+TS_Budget_Pers,TS_Budget_Per_Title,TS_Fcast_Per_Title))&amp;" ",""))</f>
        <v> - </v>
      </c>
      <c r="K7" s="44" t="str">
        <f t="shared" si="1"/>
        <v> - </v>
      </c>
      <c r="L7" s="44" t="str">
        <f t="shared" si="1"/>
        <v> - </v>
      </c>
      <c r="M7" s="44" t="str">
        <f t="shared" si="1"/>
        <v>M4 (F) </v>
      </c>
      <c r="N7" s="44" t="str">
        <f t="shared" si="1"/>
        <v>M5 (F) </v>
      </c>
      <c r="O7" s="44" t="str">
        <f t="shared" si="1"/>
        <v>M6 (F) </v>
      </c>
      <c r="P7" s="44" t="str">
        <f t="shared" si="1"/>
        <v>M7 (F) </v>
      </c>
      <c r="Q7" s="44" t="str">
        <f t="shared" si="1"/>
        <v>M8 (F) </v>
      </c>
      <c r="R7" s="44" t="str">
        <f t="shared" si="1"/>
        <v>M9 (F) </v>
      </c>
      <c r="S7" s="44" t="str">
        <f t="shared" si="1"/>
        <v>M10 (F) </v>
      </c>
    </row>
    <row r="8" spans="2:19" ht="10.5" hidden="1" outlineLevel="2">
      <c r="B8" s="23" t="s">
        <v>143</v>
      </c>
      <c r="J8" s="39">
        <f aca="true" t="shared" si="2" ref="J8:S8">IF(J12=0,0,IF(J12=TS_Data_Full_Pers+1,TS_Proj_Start_Date,I9+1))</f>
        <v>0</v>
      </c>
      <c r="K8" s="39">
        <f t="shared" si="2"/>
        <v>0</v>
      </c>
      <c r="L8" s="39">
        <f t="shared" si="2"/>
        <v>0</v>
      </c>
      <c r="M8" s="39">
        <f t="shared" si="2"/>
        <v>40269</v>
      </c>
      <c r="N8" s="39">
        <f t="shared" si="2"/>
        <v>40299</v>
      </c>
      <c r="O8" s="39">
        <f t="shared" si="2"/>
        <v>40330</v>
      </c>
      <c r="P8" s="39">
        <f t="shared" si="2"/>
        <v>40360</v>
      </c>
      <c r="Q8" s="39">
        <f t="shared" si="2"/>
        <v>40391</v>
      </c>
      <c r="R8" s="39">
        <f t="shared" si="2"/>
        <v>40422</v>
      </c>
      <c r="S8" s="39">
        <f t="shared" si="2"/>
        <v>40452</v>
      </c>
    </row>
    <row r="9" spans="2:19" ht="10.5" hidden="1" outlineLevel="2">
      <c r="B9" s="23" t="s">
        <v>144</v>
      </c>
      <c r="J9" s="39">
        <f aca="true" t="shared" si="3" ref="J9:S9">IF(J12=0,0,IF(J12=TS_Data_Full_Pers+1,TS_Proj_Per_1_End_Date,IF(TS_Mth_End,EOMONTH(EDATE(TS_Proj_Per_1_FY_Start_Date,(TS_Proj_Per_1_Number+J12-(TS_Data_Full_Pers+1))*TS_Mths_In_Per-1),0),EDATE(TS_Proj_Per_1_FY_Start_Date,(TS_Proj_Per_1_Number+J12-(TS_Data_Full_Pers+1))*TS_Mths_In_Per)-1)))</f>
        <v>0</v>
      </c>
      <c r="K9" s="39">
        <f t="shared" si="3"/>
        <v>0</v>
      </c>
      <c r="L9" s="39">
        <f t="shared" si="3"/>
        <v>0</v>
      </c>
      <c r="M9" s="39">
        <f t="shared" si="3"/>
        <v>40298</v>
      </c>
      <c r="N9" s="39">
        <f t="shared" si="3"/>
        <v>40329</v>
      </c>
      <c r="O9" s="39">
        <f t="shared" si="3"/>
        <v>40359</v>
      </c>
      <c r="P9" s="39">
        <f t="shared" si="3"/>
        <v>40390</v>
      </c>
      <c r="Q9" s="39">
        <f t="shared" si="3"/>
        <v>40421</v>
      </c>
      <c r="R9" s="39">
        <f t="shared" si="3"/>
        <v>40451</v>
      </c>
      <c r="S9" s="39">
        <f t="shared" si="3"/>
        <v>40482</v>
      </c>
    </row>
    <row r="10" spans="2:19" ht="10.5" hidden="1" outlineLevel="2">
      <c r="B10" s="23" t="s">
        <v>145</v>
      </c>
      <c r="J10" s="63">
        <f aca="true" t="shared" si="4" ref="J10:S10">IF(J12=0,0,YEAR(TS_Proj_Per_1_FY_End_Date)+INT((TS_Proj_Per_1_Number+J12-TS_Data_Full_Pers-2)/TS_Pers_In_Yr))</f>
        <v>0</v>
      </c>
      <c r="K10" s="63">
        <f t="shared" si="4"/>
        <v>0</v>
      </c>
      <c r="L10" s="63">
        <f t="shared" si="4"/>
        <v>0</v>
      </c>
      <c r="M10" s="63">
        <f t="shared" si="4"/>
        <v>2010</v>
      </c>
      <c r="N10" s="63">
        <f t="shared" si="4"/>
        <v>2010</v>
      </c>
      <c r="O10" s="63">
        <f t="shared" si="4"/>
        <v>2010</v>
      </c>
      <c r="P10" s="63">
        <f t="shared" si="4"/>
        <v>2010</v>
      </c>
      <c r="Q10" s="63">
        <f t="shared" si="4"/>
        <v>2010</v>
      </c>
      <c r="R10" s="63">
        <f t="shared" si="4"/>
        <v>2010</v>
      </c>
      <c r="S10" s="63">
        <f t="shared" si="4"/>
        <v>2010</v>
      </c>
    </row>
    <row r="11" spans="2:19" ht="10.5" hidden="1" outlineLevel="2">
      <c r="B11" s="23" t="s">
        <v>146</v>
      </c>
      <c r="J11" s="40" t="str">
        <f aca="true" t="shared" si="5" ref="J11:S11">IF(J12=0,"-",IF(TS_Pers_In_Yr=1,Yr_Name,TS_Per_Type_Prefix&amp;IF(MOD(TS_Per_1_Number+J12-1,TS_Pers_In_Yr)=0,TS_Pers_In_Yr,MOD(TS_Per_1_Number+J12-1,TS_Pers_In_Yr))))&amp;" "</f>
        <v>- </v>
      </c>
      <c r="K11" s="40" t="str">
        <f t="shared" si="5"/>
        <v>- </v>
      </c>
      <c r="L11" s="40" t="str">
        <f t="shared" si="5"/>
        <v>- </v>
      </c>
      <c r="M11" s="40" t="str">
        <f t="shared" si="5"/>
        <v>M4 </v>
      </c>
      <c r="N11" s="40" t="str">
        <f t="shared" si="5"/>
        <v>M5 </v>
      </c>
      <c r="O11" s="40" t="str">
        <f t="shared" si="5"/>
        <v>M6 </v>
      </c>
      <c r="P11" s="40" t="str">
        <f t="shared" si="5"/>
        <v>M7 </v>
      </c>
      <c r="Q11" s="40" t="str">
        <f t="shared" si="5"/>
        <v>M8 </v>
      </c>
      <c r="R11" s="40" t="str">
        <f t="shared" si="5"/>
        <v>M9 </v>
      </c>
      <c r="S11" s="40" t="str">
        <f t="shared" si="5"/>
        <v>M10 </v>
      </c>
    </row>
    <row r="12" spans="2:19" ht="10.5" hidden="1" outlineLevel="2">
      <c r="B12" s="23" t="s">
        <v>147</v>
      </c>
      <c r="J12" s="41">
        <f aca="true" t="shared" si="6" ref="J12:S12">IF(COLUMN(J12)-COLUMN($J12)+1&lt;TS_Data_Full_Pers+1,0,COLUMN(J12)-COLUMN($J12)+1)</f>
        <v>0</v>
      </c>
      <c r="K12" s="41">
        <f t="shared" si="6"/>
        <v>0</v>
      </c>
      <c r="L12" s="41">
        <f t="shared" si="6"/>
        <v>0</v>
      </c>
      <c r="M12" s="41">
        <f t="shared" si="6"/>
        <v>4</v>
      </c>
      <c r="N12" s="41">
        <f t="shared" si="6"/>
        <v>5</v>
      </c>
      <c r="O12" s="41">
        <f t="shared" si="6"/>
        <v>6</v>
      </c>
      <c r="P12" s="41">
        <f t="shared" si="6"/>
        <v>7</v>
      </c>
      <c r="Q12" s="41">
        <f t="shared" si="6"/>
        <v>8</v>
      </c>
      <c r="R12" s="41">
        <f t="shared" si="6"/>
        <v>9</v>
      </c>
      <c r="S12" s="41">
        <f t="shared" si="6"/>
        <v>10</v>
      </c>
    </row>
    <row r="13" spans="2:19" ht="10.5" hidden="1" outlineLevel="2">
      <c r="B13" s="45" t="s">
        <v>148</v>
      </c>
      <c r="C13" s="43"/>
      <c r="D13" s="43"/>
      <c r="E13" s="43"/>
      <c r="F13" s="43"/>
      <c r="G13" s="43"/>
      <c r="H13" s="43"/>
      <c r="I13" s="43"/>
      <c r="J13" s="64" t="str">
        <f>IF(J12=0,"- ",J10&amp;"-"&amp;J11)</f>
        <v>- </v>
      </c>
      <c r="K13" s="64" t="str">
        <f aca="true" t="shared" si="7" ref="K13:S13">IF(K12=0,"- ",K10&amp;"-"&amp;K11)</f>
        <v>- </v>
      </c>
      <c r="L13" s="64" t="str">
        <f t="shared" si="7"/>
        <v>- </v>
      </c>
      <c r="M13" s="64" t="str">
        <f t="shared" si="7"/>
        <v>2010-M4 </v>
      </c>
      <c r="N13" s="64" t="str">
        <f t="shared" si="7"/>
        <v>2010-M5 </v>
      </c>
      <c r="O13" s="64" t="str">
        <f t="shared" si="7"/>
        <v>2010-M6 </v>
      </c>
      <c r="P13" s="64" t="str">
        <f t="shared" si="7"/>
        <v>2010-M7 </v>
      </c>
      <c r="Q13" s="64" t="str">
        <f t="shared" si="7"/>
        <v>2010-M8 </v>
      </c>
      <c r="R13" s="64" t="str">
        <f t="shared" si="7"/>
        <v>2010-M9 </v>
      </c>
      <c r="S13" s="64" t="str">
        <f t="shared" si="7"/>
        <v>2010-M10 </v>
      </c>
    </row>
    <row r="14" ht="10.5" collapsed="1"/>
    <row r="16" ht="12.75">
      <c r="B16" s="65" t="str">
        <f>Rev_Hist_TA!B16</f>
        <v>Revenue</v>
      </c>
    </row>
    <row r="18" spans="3:10" ht="10.5">
      <c r="C18" s="67" t="str">
        <f>Rev_Hist_TA!C18</f>
        <v>Category</v>
      </c>
      <c r="J18" s="109" t="str">
        <f>INDEX(LU_Denom,DD_TS_Denom)</f>
        <v>$Millions</v>
      </c>
    </row>
    <row r="19" spans="3:19" ht="10.5">
      <c r="C19" s="73" t="str">
        <f>Revenue_Category_1_Name</f>
        <v>Revenue Category 1 Name</v>
      </c>
      <c r="J19" s="69">
        <v>100</v>
      </c>
      <c r="K19" s="69">
        <v>101</v>
      </c>
      <c r="L19" s="69">
        <v>102</v>
      </c>
      <c r="M19" s="69">
        <v>103</v>
      </c>
      <c r="N19" s="69">
        <v>104</v>
      </c>
      <c r="O19" s="69">
        <v>105</v>
      </c>
      <c r="P19" s="69">
        <v>106</v>
      </c>
      <c r="Q19" s="69">
        <v>107</v>
      </c>
      <c r="R19" s="69">
        <v>108</v>
      </c>
      <c r="S19" s="69">
        <v>109</v>
      </c>
    </row>
    <row r="20" spans="3:19" ht="10.5">
      <c r="C20" s="73" t="str">
        <f>Revenue_Category_2_Name</f>
        <v>Revenue Category 2 Name</v>
      </c>
      <c r="J20" s="69">
        <v>101</v>
      </c>
      <c r="K20" s="69">
        <v>102</v>
      </c>
      <c r="L20" s="69">
        <v>103</v>
      </c>
      <c r="M20" s="69">
        <v>104</v>
      </c>
      <c r="N20" s="69">
        <v>105</v>
      </c>
      <c r="O20" s="69">
        <v>106</v>
      </c>
      <c r="P20" s="69">
        <v>107</v>
      </c>
      <c r="Q20" s="69">
        <v>108</v>
      </c>
      <c r="R20" s="69">
        <v>109</v>
      </c>
      <c r="S20" s="69">
        <v>110</v>
      </c>
    </row>
    <row r="21" spans="3:19" ht="10.5">
      <c r="C21" s="73" t="str">
        <f>Revenue_Category_3_Name</f>
        <v>Revenue Category 3 Name</v>
      </c>
      <c r="J21" s="69">
        <v>102</v>
      </c>
      <c r="K21" s="69">
        <v>103</v>
      </c>
      <c r="L21" s="69">
        <v>104</v>
      </c>
      <c r="M21" s="69">
        <v>105</v>
      </c>
      <c r="N21" s="69">
        <v>106</v>
      </c>
      <c r="O21" s="69">
        <v>107</v>
      </c>
      <c r="P21" s="69">
        <v>108</v>
      </c>
      <c r="Q21" s="69">
        <v>109</v>
      </c>
      <c r="R21" s="69">
        <v>110</v>
      </c>
      <c r="S21" s="69">
        <v>111</v>
      </c>
    </row>
    <row r="22" spans="3:19" ht="10.5">
      <c r="C22" s="73" t="str">
        <f>Revenue_Category_4_Name</f>
        <v>Revenue Category 4 Name</v>
      </c>
      <c r="J22" s="69">
        <v>103</v>
      </c>
      <c r="K22" s="69">
        <v>104</v>
      </c>
      <c r="L22" s="69">
        <v>105</v>
      </c>
      <c r="M22" s="69">
        <v>106</v>
      </c>
      <c r="N22" s="69">
        <v>107</v>
      </c>
      <c r="O22" s="69">
        <v>108</v>
      </c>
      <c r="P22" s="69">
        <v>109</v>
      </c>
      <c r="Q22" s="69">
        <v>110</v>
      </c>
      <c r="R22" s="69">
        <v>111</v>
      </c>
      <c r="S22" s="69">
        <v>112</v>
      </c>
    </row>
    <row r="23" spans="3:19" ht="10.5">
      <c r="C23" s="73" t="str">
        <f>Revenue_Category_5_Name</f>
        <v>Revenue Category 5 Name</v>
      </c>
      <c r="J23" s="69">
        <v>104</v>
      </c>
      <c r="K23" s="69">
        <v>105</v>
      </c>
      <c r="L23" s="69">
        <v>106</v>
      </c>
      <c r="M23" s="69">
        <v>107</v>
      </c>
      <c r="N23" s="69">
        <v>108</v>
      </c>
      <c r="O23" s="69">
        <v>109</v>
      </c>
      <c r="P23" s="69">
        <v>110</v>
      </c>
      <c r="Q23" s="69">
        <v>111</v>
      </c>
      <c r="R23" s="69">
        <v>112</v>
      </c>
      <c r="S23" s="69">
        <v>113</v>
      </c>
    </row>
    <row r="24" spans="3:19" ht="10.5">
      <c r="C24" s="73" t="str">
        <f>Revenue_Category_6_Name</f>
        <v>Revenue Category 6 Name</v>
      </c>
      <c r="J24" s="71">
        <v>105</v>
      </c>
      <c r="K24" s="71">
        <v>106</v>
      </c>
      <c r="L24" s="71">
        <v>107</v>
      </c>
      <c r="M24" s="71">
        <v>108</v>
      </c>
      <c r="N24" s="71">
        <v>109</v>
      </c>
      <c r="O24" s="71">
        <v>110</v>
      </c>
      <c r="P24" s="71">
        <v>111</v>
      </c>
      <c r="Q24" s="71">
        <v>112</v>
      </c>
      <c r="R24" s="71">
        <v>113</v>
      </c>
      <c r="S24" s="71">
        <v>114</v>
      </c>
    </row>
    <row r="25" spans="3:19" ht="10.5">
      <c r="C25" s="67" t="str">
        <f>Rev_Hist_TA!C25</f>
        <v>Total Revenue</v>
      </c>
      <c r="J25" s="72">
        <f aca="true" t="shared" si="8" ref="J25:S25">SUM(J19:J24)</f>
        <v>615</v>
      </c>
      <c r="K25" s="72">
        <f t="shared" si="8"/>
        <v>621</v>
      </c>
      <c r="L25" s="72">
        <f t="shared" si="8"/>
        <v>627</v>
      </c>
      <c r="M25" s="72">
        <f t="shared" si="8"/>
        <v>633</v>
      </c>
      <c r="N25" s="72">
        <f t="shared" si="8"/>
        <v>639</v>
      </c>
      <c r="O25" s="72">
        <f t="shared" si="8"/>
        <v>645</v>
      </c>
      <c r="P25" s="72">
        <f t="shared" si="8"/>
        <v>651</v>
      </c>
      <c r="Q25" s="72">
        <f t="shared" si="8"/>
        <v>657</v>
      </c>
      <c r="R25" s="72">
        <f t="shared" si="8"/>
        <v>663</v>
      </c>
      <c r="S25" s="72">
        <f t="shared" si="8"/>
        <v>669</v>
      </c>
    </row>
  </sheetData>
  <sheetProtection sheet="1" objects="1" scenarios="1"/>
  <mergeCells count="1">
    <mergeCell ref="B3:F3"/>
  </mergeCells>
  <conditionalFormatting sqref="J19:S19">
    <cfRule type="expression" priority="7" dxfId="45" stopIfTrue="1">
      <formula>J$12=0</formula>
    </cfRule>
  </conditionalFormatting>
  <conditionalFormatting sqref="J20:S20">
    <cfRule type="expression" priority="6" dxfId="45" stopIfTrue="1">
      <formula>J$12=0</formula>
    </cfRule>
  </conditionalFormatting>
  <conditionalFormatting sqref="J21:S21">
    <cfRule type="expression" priority="5" dxfId="45" stopIfTrue="1">
      <formula>J$12=0</formula>
    </cfRule>
  </conditionalFormatting>
  <conditionalFormatting sqref="J22:S22">
    <cfRule type="expression" priority="4" dxfId="45" stopIfTrue="1">
      <formula>J$12=0</formula>
    </cfRule>
  </conditionalFormatting>
  <conditionalFormatting sqref="J23:S23">
    <cfRule type="expression" priority="3" dxfId="45" stopIfTrue="1">
      <formula>J$12=0</formula>
    </cfRule>
  </conditionalFormatting>
  <conditionalFormatting sqref="J24:S24">
    <cfRule type="expression" priority="2" dxfId="45" stopIfTrue="1">
      <formula>J$12=0</formula>
    </cfRule>
  </conditionalFormatting>
  <conditionalFormatting sqref="J25:S25">
    <cfRule type="expression" priority="1" dxfId="45" stopIfTrue="1">
      <formula>J$12=0</formula>
    </cfRule>
  </conditionalFormatting>
  <dataValidations count="1">
    <dataValidation type="custom" showErrorMessage="1" errorTitle="Invalid Assumption" error="Assumption must be a number." sqref="J19:S24">
      <formula1>NOT(ISERROR(J19/1))</formula1>
    </dataValidation>
  </dataValidations>
  <hyperlinks>
    <hyperlink ref="B3" location="HL_Home" tooltip="Go to Table of Contents" display="HL_Home"/>
    <hyperlink ref="A4" location="$B$14" tooltip="Go to Top of Sheet" display="$B$14"/>
    <hyperlink ref="B4" location="HL_Sheet_Main_5" tooltip="Go to Previous Sheet" display="HL_Sheet_Main_5"/>
    <hyperlink ref="C4" location="HL_Sheet_Main_6" tooltip="Go to Next Sheet" display="HL_Sheet_Main_6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300" verticalDpi="300" orientation="landscape" paperSize="9" r:id="rId1"/>
  <headerFooter alignWithMargins="0">
    <oddFooter>&amp;L&amp;"Bold"&amp;7&amp;F
&amp;A
Printed: &amp;T on &amp;D&amp;C&amp;"Bold"&amp;10Page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14</v>
      </c>
    </row>
    <row r="10" ht="16.5">
      <c r="C10" s="9" t="s">
        <v>152</v>
      </c>
    </row>
    <row r="11" ht="15">
      <c r="C11" s="4" t="str">
        <f>Model_Name</f>
        <v>SMA 14. Security &amp; Protection - Best Practice Model Example</v>
      </c>
    </row>
    <row r="12" spans="3:7" ht="10.5">
      <c r="C12" s="133" t="s">
        <v>1</v>
      </c>
      <c r="D12" s="133"/>
      <c r="E12" s="133"/>
      <c r="F12" s="133"/>
      <c r="G12" s="133"/>
    </row>
    <row r="13" spans="3:4" ht="12.75">
      <c r="C13" s="7" t="s">
        <v>10</v>
      </c>
      <c r="D13" s="8" t="s">
        <v>11</v>
      </c>
    </row>
    <row r="17" ht="10.5">
      <c r="C17" s="2" t="s">
        <v>6</v>
      </c>
    </row>
    <row r="18" ht="10.5">
      <c r="C18" s="3" t="s">
        <v>7</v>
      </c>
    </row>
    <row r="19" ht="10.5">
      <c r="C19" s="3" t="s">
        <v>8</v>
      </c>
    </row>
    <row r="20" ht="10.5">
      <c r="C20" s="3" t="s">
        <v>9</v>
      </c>
    </row>
  </sheetData>
  <sheetProtection sheet="1" objects="1" scenarios="1"/>
  <mergeCells count="1">
    <mergeCell ref="C12:G12"/>
  </mergeCells>
  <hyperlinks>
    <hyperlink ref="C12" location="HL_Home" tooltip="Go to Table of Contents" display="HL_Home"/>
    <hyperlink ref="C13" location="HL_Sheet_Main_13" tooltip="Go to Previous Sheet" display="HL_Sheet_Main_13"/>
    <hyperlink ref="D13" location="HL_Sheet_Main_14" tooltip="Go to Next Sheet" display="HL_Sheet_Main_14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1"/>
  <headerFooter alignWithMargins="0">
    <oddFooter>&amp;L&amp;"Bold"&amp;7&amp;F
&amp;A
Printed: &amp;T on &amp;D&amp;C&amp;"Bold"&amp;10Page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27"/>
  <sheetViews>
    <sheetView showGridLines="0" zoomScalePageLayoutView="0" workbookViewId="0" topLeftCell="A1">
      <pane xSplit="1" ySplit="13" topLeftCell="B14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 outlineLevelCol="2"/>
  <cols>
    <col min="1" max="5" width="3.83203125" style="0" customWidth="1"/>
    <col min="13" max="19" width="11.83203125" style="0" hidden="1" customWidth="1" outlineLevel="2"/>
    <col min="20" max="20" width="11.83203125" style="0" customWidth="1" collapsed="1"/>
  </cols>
  <sheetData>
    <row r="1" ht="18">
      <c r="B1" s="1" t="s">
        <v>174</v>
      </c>
    </row>
    <row r="2" ht="15">
      <c r="B2" s="4" t="str">
        <f>Model_Name</f>
        <v>SMA 14. Security &amp; Protection - Best Practice Model Example</v>
      </c>
    </row>
    <row r="3" spans="2:6" ht="10.5">
      <c r="B3" s="133" t="s">
        <v>1</v>
      </c>
      <c r="C3" s="133"/>
      <c r="D3" s="133"/>
      <c r="E3" s="133"/>
      <c r="F3" s="133"/>
    </row>
    <row r="4" spans="1:6" ht="12.75">
      <c r="A4" s="5" t="s">
        <v>4</v>
      </c>
      <c r="B4" s="7" t="s">
        <v>10</v>
      </c>
      <c r="C4" s="8" t="s">
        <v>11</v>
      </c>
      <c r="D4" s="82" t="s">
        <v>158</v>
      </c>
      <c r="E4" s="82" t="s">
        <v>159</v>
      </c>
      <c r="F4" s="60" t="s">
        <v>160</v>
      </c>
    </row>
    <row r="6" spans="2:19" ht="10.5">
      <c r="B6" s="46" t="str">
        <f>IF(TS_Data_Final_Stub,"Period End Date",IF(TS_Pers_In_Yr=1,"",TS_Per_Type_Name&amp;" Ending"))</f>
        <v>Month Ending</v>
      </c>
      <c r="J6" s="74" t="str">
        <f aca="true" t="shared" si="0" ref="J6:S6">IF(J12=0,IF(TS_Data_Final_Stub,"- ",IF(TS_Pers_In_Yr=1,"",0)),IF(TS_Data_Final_Stub,J9,IF(TS_Pers_In_Yr=1,"",LEFT(INDEX(LU_Mth_Names,MONTH(J9)),3)&amp;"-"&amp;RIGHT(YEAR(J9),2))&amp;" "))</f>
        <v>Jan-10 </v>
      </c>
      <c r="K6" s="74" t="str">
        <f t="shared" si="0"/>
        <v>Feb-10 </v>
      </c>
      <c r="L6" s="74" t="str">
        <f t="shared" si="0"/>
        <v>Mar-10 </v>
      </c>
      <c r="M6" s="74">
        <f t="shared" si="0"/>
        <v>0</v>
      </c>
      <c r="N6" s="74">
        <f t="shared" si="0"/>
        <v>0</v>
      </c>
      <c r="O6" s="74">
        <f t="shared" si="0"/>
        <v>0</v>
      </c>
      <c r="P6" s="74">
        <f t="shared" si="0"/>
        <v>0</v>
      </c>
      <c r="Q6" s="74">
        <f t="shared" si="0"/>
        <v>0</v>
      </c>
      <c r="R6" s="74">
        <f t="shared" si="0"/>
        <v>0</v>
      </c>
      <c r="S6" s="74">
        <f t="shared" si="0"/>
        <v>0</v>
      </c>
    </row>
    <row r="7" spans="2:19" ht="10.5">
      <c r="B7" s="52" t="str">
        <f>IF(TS_Data_Final_Stub,"Period Title",IF(TS_Pers_In_Yr=1,Yr_Name&amp;" Ending "&amp;DAY(TS_Per_1_End_Date)&amp;" "&amp;INDEX(LU_Mth_Names,DD_TS_Fin_YE_Mth),TS_Per_Type_Name))</f>
        <v>Month</v>
      </c>
      <c r="C7" s="30"/>
      <c r="D7" s="30"/>
      <c r="E7" s="30"/>
      <c r="F7" s="30"/>
      <c r="G7" s="30"/>
      <c r="H7" s="30"/>
      <c r="I7" s="30"/>
      <c r="J7" s="53" t="str">
        <f aca="true" t="shared" si="1" ref="J7:S7">IF(J12=0,"- ",IF(TS_Pers_In_Yr=1,J10&amp;" ",J11)&amp;IF(CB_TS_Show_Hist_Fcast_Pers,IF(J12&lt;=TS_Actual_Pers,TS_Actual_Per_Title,IF(J12&lt;=TS_Actual_Pers+TS_Budget_Pers,TS_Budget_Per_Title,TS_Fcast_Per_Title))&amp;" ",""))</f>
        <v>M1 (A) </v>
      </c>
      <c r="K7" s="53" t="str">
        <f t="shared" si="1"/>
        <v>M2 (A) </v>
      </c>
      <c r="L7" s="53" t="str">
        <f t="shared" si="1"/>
        <v>M3 (A) </v>
      </c>
      <c r="M7" s="53" t="str">
        <f t="shared" si="1"/>
        <v>- </v>
      </c>
      <c r="N7" s="53" t="str">
        <f t="shared" si="1"/>
        <v>- </v>
      </c>
      <c r="O7" s="53" t="str">
        <f t="shared" si="1"/>
        <v>- </v>
      </c>
      <c r="P7" s="53" t="str">
        <f t="shared" si="1"/>
        <v>- </v>
      </c>
      <c r="Q7" s="53" t="str">
        <f t="shared" si="1"/>
        <v>- </v>
      </c>
      <c r="R7" s="53" t="str">
        <f t="shared" si="1"/>
        <v>- </v>
      </c>
      <c r="S7" s="53" t="str">
        <f t="shared" si="1"/>
        <v>- </v>
      </c>
    </row>
    <row r="8" spans="2:19" ht="10.5" hidden="1" outlineLevel="2">
      <c r="B8" s="3" t="s">
        <v>143</v>
      </c>
      <c r="J8" s="48">
        <f aca="true" t="shared" si="2" ref="J8:S8">IF(J12=0,0,IF(J12=1,TS_Start_Date,I9+1))</f>
        <v>40179</v>
      </c>
      <c r="K8" s="48">
        <f t="shared" si="2"/>
        <v>40210</v>
      </c>
      <c r="L8" s="48">
        <f t="shared" si="2"/>
        <v>40238</v>
      </c>
      <c r="M8" s="48">
        <f t="shared" si="2"/>
        <v>0</v>
      </c>
      <c r="N8" s="48">
        <f t="shared" si="2"/>
        <v>0</v>
      </c>
      <c r="O8" s="48">
        <f t="shared" si="2"/>
        <v>0</v>
      </c>
      <c r="P8" s="48">
        <f t="shared" si="2"/>
        <v>0</v>
      </c>
      <c r="Q8" s="48">
        <f t="shared" si="2"/>
        <v>0</v>
      </c>
      <c r="R8" s="48">
        <f t="shared" si="2"/>
        <v>0</v>
      </c>
      <c r="S8" s="48">
        <f t="shared" si="2"/>
        <v>0</v>
      </c>
    </row>
    <row r="9" spans="2:19" ht="10.5" hidden="1" outlineLevel="2">
      <c r="B9" s="3" t="s">
        <v>144</v>
      </c>
      <c r="J9" s="48">
        <f aca="true" t="shared" si="3" ref="J9:S9">IF(J12=0,0,MIN(TS_Data_End_Date,IF(J8&lt;=TS_Start_Date,TS_Per_1_End_Date,IF(TS_Mth_End,EOMONTH(EDATE(TS_Per_1_FY_Start_Date,(TS_Per_1_Number+J12-1)*TS_Mths_In_Per-1),0),EDATE(TS_Per_1_FY_Start_Date,(TS_Per_1_Number+J12-1)*TS_Mths_In_Per)-1))))</f>
        <v>40209</v>
      </c>
      <c r="K9" s="48">
        <f t="shared" si="3"/>
        <v>40237</v>
      </c>
      <c r="L9" s="48">
        <f t="shared" si="3"/>
        <v>40268</v>
      </c>
      <c r="M9" s="48">
        <f t="shared" si="3"/>
        <v>0</v>
      </c>
      <c r="N9" s="48">
        <f t="shared" si="3"/>
        <v>0</v>
      </c>
      <c r="O9" s="48">
        <f t="shared" si="3"/>
        <v>0</v>
      </c>
      <c r="P9" s="48">
        <f t="shared" si="3"/>
        <v>0</v>
      </c>
      <c r="Q9" s="48">
        <f t="shared" si="3"/>
        <v>0</v>
      </c>
      <c r="R9" s="48">
        <f t="shared" si="3"/>
        <v>0</v>
      </c>
      <c r="S9" s="48">
        <f t="shared" si="3"/>
        <v>0</v>
      </c>
    </row>
    <row r="10" spans="2:19" ht="10.5" hidden="1" outlineLevel="2">
      <c r="B10" s="3" t="s">
        <v>145</v>
      </c>
      <c r="J10" s="75">
        <f aca="true" t="shared" si="4" ref="J10:S10">IF(J12=0,0,YEAR(TS_Per_1_FY_End_Date)+INT((TS_Per_1_Number+J12-2)/TS_Pers_In_Yr))</f>
        <v>2010</v>
      </c>
      <c r="K10" s="75">
        <f t="shared" si="4"/>
        <v>2010</v>
      </c>
      <c r="L10" s="75">
        <f t="shared" si="4"/>
        <v>2010</v>
      </c>
      <c r="M10" s="75">
        <f t="shared" si="4"/>
        <v>0</v>
      </c>
      <c r="N10" s="75">
        <f t="shared" si="4"/>
        <v>0</v>
      </c>
      <c r="O10" s="75">
        <f t="shared" si="4"/>
        <v>0</v>
      </c>
      <c r="P10" s="75">
        <f t="shared" si="4"/>
        <v>0</v>
      </c>
      <c r="Q10" s="75">
        <f t="shared" si="4"/>
        <v>0</v>
      </c>
      <c r="R10" s="75">
        <f t="shared" si="4"/>
        <v>0</v>
      </c>
      <c r="S10" s="75">
        <f t="shared" si="4"/>
        <v>0</v>
      </c>
    </row>
    <row r="11" spans="2:19" ht="10.5" hidden="1" outlineLevel="2">
      <c r="B11" s="3" t="s">
        <v>146</v>
      </c>
      <c r="J11" s="50" t="str">
        <f aca="true" t="shared" si="5" ref="J11:S11">IF(J12=0,"-",IF(TS_Pers_In_Yr=1,Yr_Name,TS_Per_Type_Prefix&amp;IF(MOD(TS_Per_1_Number+J12-1,TS_Pers_In_Yr)=0,TS_Pers_In_Yr,MOD(TS_Per_1_Number+J12-1,TS_Pers_In_Yr))))&amp;" "</f>
        <v>M1 </v>
      </c>
      <c r="K11" s="50" t="str">
        <f t="shared" si="5"/>
        <v>M2 </v>
      </c>
      <c r="L11" s="50" t="str">
        <f t="shared" si="5"/>
        <v>M3 </v>
      </c>
      <c r="M11" s="50" t="str">
        <f t="shared" si="5"/>
        <v>- </v>
      </c>
      <c r="N11" s="50" t="str">
        <f t="shared" si="5"/>
        <v>- </v>
      </c>
      <c r="O11" s="50" t="str">
        <f t="shared" si="5"/>
        <v>- </v>
      </c>
      <c r="P11" s="50" t="str">
        <f t="shared" si="5"/>
        <v>- </v>
      </c>
      <c r="Q11" s="50" t="str">
        <f t="shared" si="5"/>
        <v>- </v>
      </c>
      <c r="R11" s="50" t="str">
        <f t="shared" si="5"/>
        <v>- </v>
      </c>
      <c r="S11" s="50" t="str">
        <f t="shared" si="5"/>
        <v>- </v>
      </c>
    </row>
    <row r="12" spans="2:19" ht="10.5" hidden="1" outlineLevel="2">
      <c r="B12" s="3" t="s">
        <v>147</v>
      </c>
      <c r="J12" s="51">
        <f aca="true" t="shared" si="6" ref="J12:S12">IF(TS_Data_Total_Pers=0,0,IF(COLUMN(J12)=COLUMN($J12),1,IF(I12=0,0,IF(I9=TS_Data_End_Date,0,I12+1))))</f>
        <v>1</v>
      </c>
      <c r="K12" s="51">
        <f t="shared" si="6"/>
        <v>2</v>
      </c>
      <c r="L12" s="51">
        <f t="shared" si="6"/>
        <v>3</v>
      </c>
      <c r="M12" s="51">
        <f t="shared" si="6"/>
        <v>0</v>
      </c>
      <c r="N12" s="51">
        <f t="shared" si="6"/>
        <v>0</v>
      </c>
      <c r="O12" s="51">
        <f t="shared" si="6"/>
        <v>0</v>
      </c>
      <c r="P12" s="51">
        <f t="shared" si="6"/>
        <v>0</v>
      </c>
      <c r="Q12" s="51">
        <f t="shared" si="6"/>
        <v>0</v>
      </c>
      <c r="R12" s="51">
        <f t="shared" si="6"/>
        <v>0</v>
      </c>
      <c r="S12" s="51">
        <f t="shared" si="6"/>
        <v>0</v>
      </c>
    </row>
    <row r="13" spans="2:19" ht="10.5" hidden="1" outlineLevel="2">
      <c r="B13" s="54" t="s">
        <v>148</v>
      </c>
      <c r="C13" s="30"/>
      <c r="D13" s="30"/>
      <c r="E13" s="30"/>
      <c r="F13" s="30"/>
      <c r="G13" s="30"/>
      <c r="H13" s="30"/>
      <c r="I13" s="30"/>
      <c r="J13" s="76" t="str">
        <f>IF(J12=0,"- ",J10&amp;"-"&amp;J11)</f>
        <v>2010-M1 </v>
      </c>
      <c r="K13" s="76" t="str">
        <f aca="true" t="shared" si="7" ref="K13:S13">IF(K12=0,"- ",K10&amp;"-"&amp;K11)</f>
        <v>2010-M2 </v>
      </c>
      <c r="L13" s="76" t="str">
        <f t="shared" si="7"/>
        <v>2010-M3 </v>
      </c>
      <c r="M13" s="76" t="str">
        <f t="shared" si="7"/>
        <v>- </v>
      </c>
      <c r="N13" s="76" t="str">
        <f t="shared" si="7"/>
        <v>- </v>
      </c>
      <c r="O13" s="76" t="str">
        <f t="shared" si="7"/>
        <v>- </v>
      </c>
      <c r="P13" s="76" t="str">
        <f t="shared" si="7"/>
        <v>- </v>
      </c>
      <c r="Q13" s="76" t="str">
        <f t="shared" si="7"/>
        <v>- </v>
      </c>
      <c r="R13" s="76" t="str">
        <f t="shared" si="7"/>
        <v>- </v>
      </c>
      <c r="S13" s="76" t="str">
        <f t="shared" si="7"/>
        <v>- </v>
      </c>
    </row>
    <row r="14" ht="10.5" collapsed="1"/>
    <row r="16" ht="12.75">
      <c r="B16" s="77" t="str">
        <f>Rev_Hist_TA!B16</f>
        <v>Revenue</v>
      </c>
    </row>
    <row r="18" spans="3:10" ht="10.5">
      <c r="C18" s="78" t="str">
        <f>Rev_Hist_TA!C18</f>
        <v>Category</v>
      </c>
      <c r="J18" s="107" t="str">
        <f>INDEX(LU_Denom,DD_TS_Denom)</f>
        <v>$Millions</v>
      </c>
    </row>
    <row r="19" spans="3:19" ht="10.5">
      <c r="C19" s="61" t="str">
        <f>Revenue_Category_1_Name</f>
        <v>Revenue Category 1 Name</v>
      </c>
      <c r="J19" s="79">
        <f>IF(J$12&gt;0,Rev_Hist_TA!J19,0)</f>
        <v>100</v>
      </c>
      <c r="K19" s="79">
        <f>IF(K$12&gt;0,Rev_Hist_TA!K19,0)</f>
        <v>101</v>
      </c>
      <c r="L19" s="79">
        <f>IF(L$12&gt;0,Rev_Hist_TA!L19,0)</f>
        <v>102</v>
      </c>
      <c r="M19" s="79">
        <f>IF(M$12&gt;0,Rev_Hist_TA!M19,0)</f>
        <v>0</v>
      </c>
      <c r="N19" s="79">
        <f>IF(N$12&gt;0,Rev_Hist_TA!N19,0)</f>
        <v>0</v>
      </c>
      <c r="O19" s="79">
        <f>IF(O$12&gt;0,Rev_Hist_TA!O19,0)</f>
        <v>0</v>
      </c>
      <c r="P19" s="79">
        <f>IF(P$12&gt;0,Rev_Hist_TA!P19,0)</f>
        <v>0</v>
      </c>
      <c r="Q19" s="79">
        <f>IF(Q$12&gt;0,Rev_Hist_TA!Q19,0)</f>
        <v>0</v>
      </c>
      <c r="R19" s="79">
        <f>IF(R$12&gt;0,Rev_Hist_TA!R19,0)</f>
        <v>0</v>
      </c>
      <c r="S19" s="79">
        <f>IF(S$12&gt;0,Rev_Hist_TA!S19,0)</f>
        <v>0</v>
      </c>
    </row>
    <row r="20" spans="3:19" ht="10.5">
      <c r="C20" s="61" t="str">
        <f>Revenue_Category_2_Name</f>
        <v>Revenue Category 2 Name</v>
      </c>
      <c r="J20" s="79">
        <f>IF(J$12&gt;0,Rev_Hist_TA!J20,0)</f>
        <v>101</v>
      </c>
      <c r="K20" s="79">
        <f>IF(K$12&gt;0,Rev_Hist_TA!K20,0)</f>
        <v>102</v>
      </c>
      <c r="L20" s="79">
        <f>IF(L$12&gt;0,Rev_Hist_TA!L20,0)</f>
        <v>103</v>
      </c>
      <c r="M20" s="79">
        <f>IF(M$12&gt;0,Rev_Hist_TA!M20,0)</f>
        <v>0</v>
      </c>
      <c r="N20" s="79">
        <f>IF(N$12&gt;0,Rev_Hist_TA!N20,0)</f>
        <v>0</v>
      </c>
      <c r="O20" s="79">
        <f>IF(O$12&gt;0,Rev_Hist_TA!O20,0)</f>
        <v>0</v>
      </c>
      <c r="P20" s="79">
        <f>IF(P$12&gt;0,Rev_Hist_TA!P20,0)</f>
        <v>0</v>
      </c>
      <c r="Q20" s="79">
        <f>IF(Q$12&gt;0,Rev_Hist_TA!Q20,0)</f>
        <v>0</v>
      </c>
      <c r="R20" s="79">
        <f>IF(R$12&gt;0,Rev_Hist_TA!R20,0)</f>
        <v>0</v>
      </c>
      <c r="S20" s="79">
        <f>IF(S$12&gt;0,Rev_Hist_TA!S20,0)</f>
        <v>0</v>
      </c>
    </row>
    <row r="21" spans="3:19" ht="10.5">
      <c r="C21" s="61" t="str">
        <f>Revenue_Category_3_Name</f>
        <v>Revenue Category 3 Name</v>
      </c>
      <c r="J21" s="79">
        <f>IF(J$12&gt;0,Rev_Hist_TA!J21,0)</f>
        <v>102</v>
      </c>
      <c r="K21" s="79">
        <f>IF(K$12&gt;0,Rev_Hist_TA!K21,0)</f>
        <v>103</v>
      </c>
      <c r="L21" s="79">
        <f>IF(L$12&gt;0,Rev_Hist_TA!L21,0)</f>
        <v>104</v>
      </c>
      <c r="M21" s="79">
        <f>IF(M$12&gt;0,Rev_Hist_TA!M21,0)</f>
        <v>0</v>
      </c>
      <c r="N21" s="79">
        <f>IF(N$12&gt;0,Rev_Hist_TA!N21,0)</f>
        <v>0</v>
      </c>
      <c r="O21" s="79">
        <f>IF(O$12&gt;0,Rev_Hist_TA!O21,0)</f>
        <v>0</v>
      </c>
      <c r="P21" s="79">
        <f>IF(P$12&gt;0,Rev_Hist_TA!P21,0)</f>
        <v>0</v>
      </c>
      <c r="Q21" s="79">
        <f>IF(Q$12&gt;0,Rev_Hist_TA!Q21,0)</f>
        <v>0</v>
      </c>
      <c r="R21" s="79">
        <f>IF(R$12&gt;0,Rev_Hist_TA!R21,0)</f>
        <v>0</v>
      </c>
      <c r="S21" s="79">
        <f>IF(S$12&gt;0,Rev_Hist_TA!S21,0)</f>
        <v>0</v>
      </c>
    </row>
    <row r="22" spans="3:19" ht="10.5">
      <c r="C22" s="61" t="str">
        <f>Revenue_Category_4_Name</f>
        <v>Revenue Category 4 Name</v>
      </c>
      <c r="J22" s="79">
        <f>IF(J$12&gt;0,Rev_Hist_TA!J22,0)</f>
        <v>103</v>
      </c>
      <c r="K22" s="79">
        <f>IF(K$12&gt;0,Rev_Hist_TA!K22,0)</f>
        <v>104</v>
      </c>
      <c r="L22" s="79">
        <f>IF(L$12&gt;0,Rev_Hist_TA!L22,0)</f>
        <v>105</v>
      </c>
      <c r="M22" s="79">
        <f>IF(M$12&gt;0,Rev_Hist_TA!M22,0)</f>
        <v>0</v>
      </c>
      <c r="N22" s="79">
        <f>IF(N$12&gt;0,Rev_Hist_TA!N22,0)</f>
        <v>0</v>
      </c>
      <c r="O22" s="79">
        <f>IF(O$12&gt;0,Rev_Hist_TA!O22,0)</f>
        <v>0</v>
      </c>
      <c r="P22" s="79">
        <f>IF(P$12&gt;0,Rev_Hist_TA!P22,0)</f>
        <v>0</v>
      </c>
      <c r="Q22" s="79">
        <f>IF(Q$12&gt;0,Rev_Hist_TA!Q22,0)</f>
        <v>0</v>
      </c>
      <c r="R22" s="79">
        <f>IF(R$12&gt;0,Rev_Hist_TA!R22,0)</f>
        <v>0</v>
      </c>
      <c r="S22" s="79">
        <f>IF(S$12&gt;0,Rev_Hist_TA!S22,0)</f>
        <v>0</v>
      </c>
    </row>
    <row r="23" spans="3:19" ht="10.5">
      <c r="C23" s="61" t="str">
        <f>Revenue_Category_5_Name</f>
        <v>Revenue Category 5 Name</v>
      </c>
      <c r="J23" s="79">
        <f>IF(J$12&gt;0,Rev_Hist_TA!J23,0)</f>
        <v>104</v>
      </c>
      <c r="K23" s="79">
        <f>IF(K$12&gt;0,Rev_Hist_TA!K23,0)</f>
        <v>105</v>
      </c>
      <c r="L23" s="79">
        <f>IF(L$12&gt;0,Rev_Hist_TA!L23,0)</f>
        <v>106</v>
      </c>
      <c r="M23" s="79">
        <f>IF(M$12&gt;0,Rev_Hist_TA!M23,0)</f>
        <v>0</v>
      </c>
      <c r="N23" s="79">
        <f>IF(N$12&gt;0,Rev_Hist_TA!N23,0)</f>
        <v>0</v>
      </c>
      <c r="O23" s="79">
        <f>IF(O$12&gt;0,Rev_Hist_TA!O23,0)</f>
        <v>0</v>
      </c>
      <c r="P23" s="79">
        <f>IF(P$12&gt;0,Rev_Hist_TA!P23,0)</f>
        <v>0</v>
      </c>
      <c r="Q23" s="79">
        <f>IF(Q$12&gt;0,Rev_Hist_TA!Q23,0)</f>
        <v>0</v>
      </c>
      <c r="R23" s="79">
        <f>IF(R$12&gt;0,Rev_Hist_TA!R23,0)</f>
        <v>0</v>
      </c>
      <c r="S23" s="79">
        <f>IF(S$12&gt;0,Rev_Hist_TA!S23,0)</f>
        <v>0</v>
      </c>
    </row>
    <row r="24" spans="3:19" ht="10.5">
      <c r="C24" s="61" t="str">
        <f>Revenue_Category_6_Name</f>
        <v>Revenue Category 6 Name</v>
      </c>
      <c r="J24" s="79">
        <f>IF(J$12&gt;0,Rev_Hist_TA!J24,0)</f>
        <v>105</v>
      </c>
      <c r="K24" s="79">
        <f>IF(K$12&gt;0,Rev_Hist_TA!K24,0)</f>
        <v>106</v>
      </c>
      <c r="L24" s="79">
        <f>IF(L$12&gt;0,Rev_Hist_TA!L24,0)</f>
        <v>107</v>
      </c>
      <c r="M24" s="79">
        <f>IF(M$12&gt;0,Rev_Hist_TA!M24,0)</f>
        <v>0</v>
      </c>
      <c r="N24" s="79">
        <f>IF(N$12&gt;0,Rev_Hist_TA!N24,0)</f>
        <v>0</v>
      </c>
      <c r="O24" s="79">
        <f>IF(O$12&gt;0,Rev_Hist_TA!O24,0)</f>
        <v>0</v>
      </c>
      <c r="P24" s="79">
        <f>IF(P$12&gt;0,Rev_Hist_TA!P24,0)</f>
        <v>0</v>
      </c>
      <c r="Q24" s="79">
        <f>IF(Q$12&gt;0,Rev_Hist_TA!Q24,0)</f>
        <v>0</v>
      </c>
      <c r="R24" s="79">
        <f>IF(R$12&gt;0,Rev_Hist_TA!R24,0)</f>
        <v>0</v>
      </c>
      <c r="S24" s="79">
        <f>IF(S$12&gt;0,Rev_Hist_TA!S24,0)</f>
        <v>0</v>
      </c>
    </row>
    <row r="25" spans="3:19" ht="10.5">
      <c r="C25" s="78" t="str">
        <f>Rev_Fcast_TA!C25</f>
        <v>Total Revenue</v>
      </c>
      <c r="J25" s="80">
        <f>SUM(J19:J24)</f>
        <v>615</v>
      </c>
      <c r="K25" s="80">
        <f aca="true" t="shared" si="8" ref="K25:S25">SUM(K19:K24)</f>
        <v>621</v>
      </c>
      <c r="L25" s="80">
        <f t="shared" si="8"/>
        <v>627</v>
      </c>
      <c r="M25" s="80">
        <f t="shared" si="8"/>
        <v>0</v>
      </c>
      <c r="N25" s="80">
        <f t="shared" si="8"/>
        <v>0</v>
      </c>
      <c r="O25" s="80">
        <f t="shared" si="8"/>
        <v>0</v>
      </c>
      <c r="P25" s="80">
        <f t="shared" si="8"/>
        <v>0</v>
      </c>
      <c r="Q25" s="80">
        <f t="shared" si="8"/>
        <v>0</v>
      </c>
      <c r="R25" s="80">
        <f t="shared" si="8"/>
        <v>0</v>
      </c>
      <c r="S25" s="80">
        <f t="shared" si="8"/>
        <v>0</v>
      </c>
    </row>
    <row r="27" spans="3:19" ht="10.5">
      <c r="C27" s="123" t="s">
        <v>193</v>
      </c>
      <c r="I27" s="116">
        <f>IF(ISERROR(SUM(J27:S27)),1,MIN(SUM(J27:S27),1))</f>
        <v>0</v>
      </c>
      <c r="J27" s="115">
        <f>IF(ISERROR(J25),1,0)</f>
        <v>0</v>
      </c>
      <c r="K27" s="115">
        <f aca="true" t="shared" si="9" ref="K27:S27">IF(ISERROR(K25),1,0)</f>
        <v>0</v>
      </c>
      <c r="L27" s="115">
        <f t="shared" si="9"/>
        <v>0</v>
      </c>
      <c r="M27" s="115">
        <f t="shared" si="9"/>
        <v>0</v>
      </c>
      <c r="N27" s="115">
        <f t="shared" si="9"/>
        <v>0</v>
      </c>
      <c r="O27" s="115">
        <f t="shared" si="9"/>
        <v>0</v>
      </c>
      <c r="P27" s="115">
        <f t="shared" si="9"/>
        <v>0</v>
      </c>
      <c r="Q27" s="115">
        <f t="shared" si="9"/>
        <v>0</v>
      </c>
      <c r="R27" s="115">
        <f t="shared" si="9"/>
        <v>0</v>
      </c>
      <c r="S27" s="115">
        <f t="shared" si="9"/>
        <v>0</v>
      </c>
    </row>
  </sheetData>
  <sheetProtection sheet="1" objects="1" scenarios="1"/>
  <mergeCells count="1">
    <mergeCell ref="B3:F3"/>
  </mergeCells>
  <conditionalFormatting sqref="I27">
    <cfRule type="cellIs" priority="1" dxfId="12" operator="notEqual" stopIfTrue="1">
      <formula>0</formula>
    </cfRule>
  </conditionalFormatting>
  <conditionalFormatting sqref="J27:S27">
    <cfRule type="cellIs" priority="2" dxfId="12" operator="notEqual" stopIfTrue="1">
      <formula>0</formula>
    </cfRule>
  </conditionalFormatting>
  <hyperlinks>
    <hyperlink ref="B3" location="HL_Home" tooltip="Go to Table of Contents" display="HL_Home"/>
    <hyperlink ref="A4" location="$B$14" tooltip="Go to Top of Sheet" display="$B$14"/>
    <hyperlink ref="B4" location="HL_Sheet_Main_6" tooltip="Go to Previous Sheet" display="HL_Sheet_Main_6"/>
    <hyperlink ref="C4" location="HL_Sheet_Main_15" tooltip="Go to Next Sheet" display="HL_Sheet_Main_15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300" verticalDpi="300" orientation="landscape" paperSize="9" r:id="rId3"/>
  <headerFooter alignWithMargins="0">
    <oddFooter>&amp;L&amp;"Bold"&amp;7&amp;F
&amp;A
Printed: &amp;T on &amp;D&amp;C&amp;"Bold"&amp;10Page &amp;P of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7"/>
  <sheetViews>
    <sheetView showGridLines="0" zoomScalePageLayoutView="0" workbookViewId="0" topLeftCell="A1">
      <pane xSplit="1" ySplit="13" topLeftCell="B14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 outlineLevelCol="2"/>
  <cols>
    <col min="1" max="5" width="3.83203125" style="0" customWidth="1"/>
    <col min="10" max="12" width="11.83203125" style="0" hidden="1" customWidth="1" outlineLevel="2"/>
    <col min="13" max="13" width="11.83203125" style="0" customWidth="1" collapsed="1"/>
  </cols>
  <sheetData>
    <row r="1" ht="18">
      <c r="B1" s="1" t="s">
        <v>175</v>
      </c>
    </row>
    <row r="2" ht="15">
      <c r="B2" s="4" t="str">
        <f>Model_Name</f>
        <v>SMA 14. Security &amp; Protection - Best Practice Model Example</v>
      </c>
    </row>
    <row r="3" spans="2:6" ht="10.5">
      <c r="B3" s="133" t="s">
        <v>1</v>
      </c>
      <c r="C3" s="133"/>
      <c r="D3" s="133"/>
      <c r="E3" s="133"/>
      <c r="F3" s="133"/>
    </row>
    <row r="4" spans="1:6" ht="12.75">
      <c r="A4" s="5" t="s">
        <v>4</v>
      </c>
      <c r="B4" s="7" t="s">
        <v>10</v>
      </c>
      <c r="C4" s="8" t="s">
        <v>11</v>
      </c>
      <c r="D4" s="82" t="s">
        <v>158</v>
      </c>
      <c r="E4" s="82" t="s">
        <v>159</v>
      </c>
      <c r="F4" s="60" t="s">
        <v>160</v>
      </c>
    </row>
    <row r="6" spans="2:19" ht="10.5">
      <c r="B6" s="46" t="str">
        <f>IF(TS_Data_Final_Stub,"Period End Date",IF(TS_Pers_In_Yr=1,"",TS_Per_Type_Name&amp;" Ending"))</f>
        <v>Month Ending</v>
      </c>
      <c r="J6" s="74">
        <f aca="true" t="shared" si="0" ref="J6:S6">IF(J12=0,IF(TS_Data_Final_Stub,"- ",IF(TS_Pers_In_Yr=1,"",0)),IF(TS_Data_Final_Stub,J9,IF(TS_Pers_In_Yr=1,"",LEFT(INDEX(LU_Mth_Names,MONTH(J9)),3)&amp;"-"&amp;RIGHT(YEAR(J9),2))&amp;" "))</f>
        <v>0</v>
      </c>
      <c r="K6" s="74">
        <f t="shared" si="0"/>
        <v>0</v>
      </c>
      <c r="L6" s="74">
        <f t="shared" si="0"/>
        <v>0</v>
      </c>
      <c r="M6" s="74" t="str">
        <f t="shared" si="0"/>
        <v>Apr-10 </v>
      </c>
      <c r="N6" s="74" t="str">
        <f t="shared" si="0"/>
        <v>May-10 </v>
      </c>
      <c r="O6" s="74" t="str">
        <f t="shared" si="0"/>
        <v>Jun-10 </v>
      </c>
      <c r="P6" s="74" t="str">
        <f t="shared" si="0"/>
        <v>Jul-10 </v>
      </c>
      <c r="Q6" s="74" t="str">
        <f t="shared" si="0"/>
        <v>Aug-10 </v>
      </c>
      <c r="R6" s="74" t="str">
        <f t="shared" si="0"/>
        <v>Sep-10 </v>
      </c>
      <c r="S6" s="74" t="str">
        <f t="shared" si="0"/>
        <v>Oct-10 </v>
      </c>
    </row>
    <row r="7" spans="2:19" ht="10.5">
      <c r="B7" s="52" t="str">
        <f>IF(TS_Data_Final_Stub,"Period Title",IF(TS_Pers_In_Yr=1,Yr_Name&amp;" Ending "&amp;DAY(TS_Per_1_End_Date)&amp;" "&amp;INDEX(LU_Mth_Names,DD_TS_Fin_YE_Mth),TS_Per_Type_Name))</f>
        <v>Month</v>
      </c>
      <c r="C7" s="30"/>
      <c r="D7" s="30"/>
      <c r="E7" s="30"/>
      <c r="F7" s="30"/>
      <c r="G7" s="30"/>
      <c r="H7" s="30"/>
      <c r="I7" s="30"/>
      <c r="J7" s="53" t="str">
        <f aca="true" t="shared" si="1" ref="J7:S7">IF(J12=0," - ",IF(TS_Pers_In_Yr=1,J10&amp;" ",J11)&amp;IF(CB_TS_Show_Hist_Fcast_Pers,IF(J12+TS_Data_Full_Pers&lt;=TS_Actual_Pers,TS_Actual_Per_Title,IF(J12+TS_Data_Full_Pers&lt;=TS_Actual_Pers+TS_Budget_Pers,TS_Budget_Per_Title,TS_Fcast_Per_Title))&amp;" ",""))</f>
        <v> - </v>
      </c>
      <c r="K7" s="53" t="str">
        <f t="shared" si="1"/>
        <v> - </v>
      </c>
      <c r="L7" s="53" t="str">
        <f t="shared" si="1"/>
        <v> - </v>
      </c>
      <c r="M7" s="53" t="str">
        <f t="shared" si="1"/>
        <v>M4 (F) </v>
      </c>
      <c r="N7" s="53" t="str">
        <f t="shared" si="1"/>
        <v>M5 (F) </v>
      </c>
      <c r="O7" s="53" t="str">
        <f t="shared" si="1"/>
        <v>M6 (F) </v>
      </c>
      <c r="P7" s="53" t="str">
        <f t="shared" si="1"/>
        <v>M7 (F) </v>
      </c>
      <c r="Q7" s="53" t="str">
        <f t="shared" si="1"/>
        <v>M8 (F) </v>
      </c>
      <c r="R7" s="53" t="str">
        <f t="shared" si="1"/>
        <v>M9 (F) </v>
      </c>
      <c r="S7" s="53" t="str">
        <f t="shared" si="1"/>
        <v>M10 (F) </v>
      </c>
    </row>
    <row r="8" spans="2:19" ht="10.5" hidden="1" outlineLevel="2">
      <c r="B8" s="3" t="s">
        <v>143</v>
      </c>
      <c r="J8" s="48">
        <f aca="true" t="shared" si="2" ref="J8:S8">IF(J12=0,0,IF(J12=TS_Data_Full_Pers+1,TS_Proj_Start_Date,I9+1))</f>
        <v>0</v>
      </c>
      <c r="K8" s="48">
        <f t="shared" si="2"/>
        <v>0</v>
      </c>
      <c r="L8" s="48">
        <f t="shared" si="2"/>
        <v>0</v>
      </c>
      <c r="M8" s="48">
        <f t="shared" si="2"/>
        <v>40269</v>
      </c>
      <c r="N8" s="48">
        <f t="shared" si="2"/>
        <v>40299</v>
      </c>
      <c r="O8" s="48">
        <f t="shared" si="2"/>
        <v>40330</v>
      </c>
      <c r="P8" s="48">
        <f t="shared" si="2"/>
        <v>40360</v>
      </c>
      <c r="Q8" s="48">
        <f t="shared" si="2"/>
        <v>40391</v>
      </c>
      <c r="R8" s="48">
        <f t="shared" si="2"/>
        <v>40422</v>
      </c>
      <c r="S8" s="48">
        <f t="shared" si="2"/>
        <v>40452</v>
      </c>
    </row>
    <row r="9" spans="2:19" ht="10.5" hidden="1" outlineLevel="2">
      <c r="B9" s="3" t="s">
        <v>144</v>
      </c>
      <c r="J9" s="48">
        <f aca="true" t="shared" si="3" ref="J9:S9">IF(J12=0,0,IF(J12=TS_Data_Full_Pers+1,TS_Proj_Per_1_End_Date,IF(TS_Mth_End,EOMONTH(EDATE(TS_Proj_Per_1_FY_Start_Date,(TS_Proj_Per_1_Number+J12-(TS_Data_Full_Pers+1))*TS_Mths_In_Per-1),0),EDATE(TS_Proj_Per_1_FY_Start_Date,(TS_Proj_Per_1_Number+J12-(TS_Data_Full_Pers+1))*TS_Mths_In_Per)-1)))</f>
        <v>0</v>
      </c>
      <c r="K9" s="48">
        <f t="shared" si="3"/>
        <v>0</v>
      </c>
      <c r="L9" s="48">
        <f t="shared" si="3"/>
        <v>0</v>
      </c>
      <c r="M9" s="48">
        <f t="shared" si="3"/>
        <v>40298</v>
      </c>
      <c r="N9" s="48">
        <f t="shared" si="3"/>
        <v>40329</v>
      </c>
      <c r="O9" s="48">
        <f t="shared" si="3"/>
        <v>40359</v>
      </c>
      <c r="P9" s="48">
        <f t="shared" si="3"/>
        <v>40390</v>
      </c>
      <c r="Q9" s="48">
        <f t="shared" si="3"/>
        <v>40421</v>
      </c>
      <c r="R9" s="48">
        <f t="shared" si="3"/>
        <v>40451</v>
      </c>
      <c r="S9" s="48">
        <f t="shared" si="3"/>
        <v>40482</v>
      </c>
    </row>
    <row r="10" spans="2:19" ht="10.5" hidden="1" outlineLevel="2">
      <c r="B10" s="3" t="s">
        <v>145</v>
      </c>
      <c r="J10" s="75">
        <f aca="true" t="shared" si="4" ref="J10:S10">IF(J12=0,0,YEAR(TS_Proj_Per_1_FY_End_Date)+INT((TS_Proj_Per_1_Number+J12-TS_Data_Full_Pers-2)/TS_Pers_In_Yr))</f>
        <v>0</v>
      </c>
      <c r="K10" s="75">
        <f t="shared" si="4"/>
        <v>0</v>
      </c>
      <c r="L10" s="75">
        <f t="shared" si="4"/>
        <v>0</v>
      </c>
      <c r="M10" s="75">
        <f t="shared" si="4"/>
        <v>2010</v>
      </c>
      <c r="N10" s="75">
        <f t="shared" si="4"/>
        <v>2010</v>
      </c>
      <c r="O10" s="75">
        <f t="shared" si="4"/>
        <v>2010</v>
      </c>
      <c r="P10" s="75">
        <f t="shared" si="4"/>
        <v>2010</v>
      </c>
      <c r="Q10" s="75">
        <f t="shared" si="4"/>
        <v>2010</v>
      </c>
      <c r="R10" s="75">
        <f t="shared" si="4"/>
        <v>2010</v>
      </c>
      <c r="S10" s="75">
        <f t="shared" si="4"/>
        <v>2010</v>
      </c>
    </row>
    <row r="11" spans="2:19" ht="10.5" hidden="1" outlineLevel="2">
      <c r="B11" s="3" t="s">
        <v>146</v>
      </c>
      <c r="J11" s="50" t="str">
        <f aca="true" t="shared" si="5" ref="J11:S11">IF(J12=0,"-",IF(TS_Pers_In_Yr=1,Yr_Name,TS_Per_Type_Prefix&amp;IF(MOD(TS_Per_1_Number+J12-1,TS_Pers_In_Yr)=0,TS_Pers_In_Yr,MOD(TS_Per_1_Number+J12-1,TS_Pers_In_Yr))))&amp;" "</f>
        <v>- </v>
      </c>
      <c r="K11" s="50" t="str">
        <f t="shared" si="5"/>
        <v>- </v>
      </c>
      <c r="L11" s="50" t="str">
        <f t="shared" si="5"/>
        <v>- </v>
      </c>
      <c r="M11" s="50" t="str">
        <f t="shared" si="5"/>
        <v>M4 </v>
      </c>
      <c r="N11" s="50" t="str">
        <f t="shared" si="5"/>
        <v>M5 </v>
      </c>
      <c r="O11" s="50" t="str">
        <f t="shared" si="5"/>
        <v>M6 </v>
      </c>
      <c r="P11" s="50" t="str">
        <f t="shared" si="5"/>
        <v>M7 </v>
      </c>
      <c r="Q11" s="50" t="str">
        <f t="shared" si="5"/>
        <v>M8 </v>
      </c>
      <c r="R11" s="50" t="str">
        <f t="shared" si="5"/>
        <v>M9 </v>
      </c>
      <c r="S11" s="50" t="str">
        <f t="shared" si="5"/>
        <v>M10 </v>
      </c>
    </row>
    <row r="12" spans="2:19" ht="10.5" hidden="1" outlineLevel="2">
      <c r="B12" s="3" t="s">
        <v>147</v>
      </c>
      <c r="J12" s="51">
        <f aca="true" t="shared" si="6" ref="J12:S12">IF(COLUMN(J12)-COLUMN($J12)+1&lt;TS_Data_Full_Pers+1,0,COLUMN(J12)-COLUMN($J12)+1)</f>
        <v>0</v>
      </c>
      <c r="K12" s="51">
        <f t="shared" si="6"/>
        <v>0</v>
      </c>
      <c r="L12" s="51">
        <f t="shared" si="6"/>
        <v>0</v>
      </c>
      <c r="M12" s="51">
        <f t="shared" si="6"/>
        <v>4</v>
      </c>
      <c r="N12" s="51">
        <f t="shared" si="6"/>
        <v>5</v>
      </c>
      <c r="O12" s="51">
        <f t="shared" si="6"/>
        <v>6</v>
      </c>
      <c r="P12" s="51">
        <f t="shared" si="6"/>
        <v>7</v>
      </c>
      <c r="Q12" s="51">
        <f t="shared" si="6"/>
        <v>8</v>
      </c>
      <c r="R12" s="51">
        <f t="shared" si="6"/>
        <v>9</v>
      </c>
      <c r="S12" s="51">
        <f t="shared" si="6"/>
        <v>10</v>
      </c>
    </row>
    <row r="13" spans="2:19" ht="10.5" hidden="1" outlineLevel="2">
      <c r="B13" s="54" t="s">
        <v>148</v>
      </c>
      <c r="C13" s="30"/>
      <c r="D13" s="30"/>
      <c r="E13" s="30"/>
      <c r="F13" s="30"/>
      <c r="G13" s="30"/>
      <c r="H13" s="30"/>
      <c r="I13" s="30"/>
      <c r="J13" s="76" t="str">
        <f>IF(J12=0,"- ",J10&amp;"-"&amp;J11)</f>
        <v>- </v>
      </c>
      <c r="K13" s="76" t="str">
        <f aca="true" t="shared" si="7" ref="K13:S13">IF(K12=0,"- ",K10&amp;"-"&amp;K11)</f>
        <v>- </v>
      </c>
      <c r="L13" s="76" t="str">
        <f t="shared" si="7"/>
        <v>- </v>
      </c>
      <c r="M13" s="76" t="str">
        <f t="shared" si="7"/>
        <v>2010-M4 </v>
      </c>
      <c r="N13" s="76" t="str">
        <f t="shared" si="7"/>
        <v>2010-M5 </v>
      </c>
      <c r="O13" s="76" t="str">
        <f t="shared" si="7"/>
        <v>2010-M6 </v>
      </c>
      <c r="P13" s="76" t="str">
        <f t="shared" si="7"/>
        <v>2010-M7 </v>
      </c>
      <c r="Q13" s="76" t="str">
        <f t="shared" si="7"/>
        <v>2010-M8 </v>
      </c>
      <c r="R13" s="76" t="str">
        <f t="shared" si="7"/>
        <v>2010-M9 </v>
      </c>
      <c r="S13" s="76" t="str">
        <f t="shared" si="7"/>
        <v>2010-M10 </v>
      </c>
    </row>
    <row r="14" ht="10.5" collapsed="1"/>
    <row r="16" ht="12.75">
      <c r="B16" s="77" t="str">
        <f>Rev_Hist_TA!B16</f>
        <v>Revenue</v>
      </c>
    </row>
    <row r="18" spans="3:10" ht="10.5">
      <c r="C18" s="78" t="str">
        <f>Rev_Hist_TA!C18</f>
        <v>Category</v>
      </c>
      <c r="J18" s="108" t="str">
        <f>INDEX(LU_Denom,DD_TS_Denom)</f>
        <v>$Millions</v>
      </c>
    </row>
    <row r="19" spans="3:19" ht="10.5">
      <c r="C19" s="61" t="str">
        <f>Revenue_Category_1_Name</f>
        <v>Revenue Category 1 Name</v>
      </c>
      <c r="J19" s="79">
        <f>IF(J$12&gt;0,Rev_Fcast_TA!J19,0)</f>
        <v>0</v>
      </c>
      <c r="K19" s="79">
        <f>IF(K$12&gt;0,Rev_Fcast_TA!K19,0)</f>
        <v>0</v>
      </c>
      <c r="L19" s="79">
        <f>IF(L$12&gt;0,Rev_Fcast_TA!L19,0)</f>
        <v>0</v>
      </c>
      <c r="M19" s="79">
        <f>IF(M$12&gt;0,Rev_Fcast_TA!M19,0)</f>
        <v>103</v>
      </c>
      <c r="N19" s="79">
        <f>IF(N$12&gt;0,Rev_Fcast_TA!N19,0)</f>
        <v>104</v>
      </c>
      <c r="O19" s="79">
        <f>IF(O$12&gt;0,Rev_Fcast_TA!O19,0)</f>
        <v>105</v>
      </c>
      <c r="P19" s="79">
        <f>IF(P$12&gt;0,Rev_Fcast_TA!P19,0)</f>
        <v>106</v>
      </c>
      <c r="Q19" s="79">
        <f>IF(Q$12&gt;0,Rev_Fcast_TA!Q19,0)</f>
        <v>107</v>
      </c>
      <c r="R19" s="79">
        <f>IF(R$12&gt;0,Rev_Fcast_TA!R19,0)</f>
        <v>108</v>
      </c>
      <c r="S19" s="79">
        <f>IF(S$12&gt;0,Rev_Fcast_TA!S19,0)</f>
        <v>109</v>
      </c>
    </row>
    <row r="20" spans="3:19" ht="10.5">
      <c r="C20" s="61" t="str">
        <f>Revenue_Category_2_Name</f>
        <v>Revenue Category 2 Name</v>
      </c>
      <c r="J20" s="79">
        <f>IF(J$12&gt;0,Rev_Fcast_TA!J20,0)</f>
        <v>0</v>
      </c>
      <c r="K20" s="79">
        <f>IF(K$12&gt;0,Rev_Fcast_TA!K20,0)</f>
        <v>0</v>
      </c>
      <c r="L20" s="79">
        <f>IF(L$12&gt;0,Rev_Fcast_TA!L20,0)</f>
        <v>0</v>
      </c>
      <c r="M20" s="79">
        <f>IF(M$12&gt;0,Rev_Fcast_TA!M20,0)</f>
        <v>104</v>
      </c>
      <c r="N20" s="79">
        <f>IF(N$12&gt;0,Rev_Fcast_TA!N20,0)</f>
        <v>105</v>
      </c>
      <c r="O20" s="79">
        <f>IF(O$12&gt;0,Rev_Fcast_TA!O20,0)</f>
        <v>106</v>
      </c>
      <c r="P20" s="79">
        <f>IF(P$12&gt;0,Rev_Fcast_TA!P20,0)</f>
        <v>107</v>
      </c>
      <c r="Q20" s="79">
        <f>IF(Q$12&gt;0,Rev_Fcast_TA!Q20,0)</f>
        <v>108</v>
      </c>
      <c r="R20" s="79">
        <f>IF(R$12&gt;0,Rev_Fcast_TA!R20,0)</f>
        <v>109</v>
      </c>
      <c r="S20" s="79">
        <f>IF(S$12&gt;0,Rev_Fcast_TA!S20,0)</f>
        <v>110</v>
      </c>
    </row>
    <row r="21" spans="3:19" ht="10.5">
      <c r="C21" s="61" t="str">
        <f>Revenue_Category_3_Name</f>
        <v>Revenue Category 3 Name</v>
      </c>
      <c r="J21" s="79">
        <f>IF(J$12&gt;0,Rev_Fcast_TA!J21,0)</f>
        <v>0</v>
      </c>
      <c r="K21" s="79">
        <f>IF(K$12&gt;0,Rev_Fcast_TA!K21,0)</f>
        <v>0</v>
      </c>
      <c r="L21" s="79">
        <f>IF(L$12&gt;0,Rev_Fcast_TA!L21,0)</f>
        <v>0</v>
      </c>
      <c r="M21" s="79">
        <f>IF(M$12&gt;0,Rev_Fcast_TA!M21,0)</f>
        <v>105</v>
      </c>
      <c r="N21" s="79">
        <f>IF(N$12&gt;0,Rev_Fcast_TA!N21,0)</f>
        <v>106</v>
      </c>
      <c r="O21" s="79">
        <f>IF(O$12&gt;0,Rev_Fcast_TA!O21,0)</f>
        <v>107</v>
      </c>
      <c r="P21" s="79">
        <f>IF(P$12&gt;0,Rev_Fcast_TA!P21,0)</f>
        <v>108</v>
      </c>
      <c r="Q21" s="79">
        <f>IF(Q$12&gt;0,Rev_Fcast_TA!Q21,0)</f>
        <v>109</v>
      </c>
      <c r="R21" s="79">
        <f>IF(R$12&gt;0,Rev_Fcast_TA!R21,0)</f>
        <v>110</v>
      </c>
      <c r="S21" s="79">
        <f>IF(S$12&gt;0,Rev_Fcast_TA!S21,0)</f>
        <v>111</v>
      </c>
    </row>
    <row r="22" spans="3:19" ht="10.5">
      <c r="C22" s="61" t="str">
        <f>Revenue_Category_4_Name</f>
        <v>Revenue Category 4 Name</v>
      </c>
      <c r="J22" s="79">
        <f>IF(J$12&gt;0,Rev_Fcast_TA!J22,0)</f>
        <v>0</v>
      </c>
      <c r="K22" s="79">
        <f>IF(K$12&gt;0,Rev_Fcast_TA!K22,0)</f>
        <v>0</v>
      </c>
      <c r="L22" s="79">
        <f>IF(L$12&gt;0,Rev_Fcast_TA!L22,0)</f>
        <v>0</v>
      </c>
      <c r="M22" s="79">
        <f>IF(M$12&gt;0,Rev_Fcast_TA!M22,0)</f>
        <v>106</v>
      </c>
      <c r="N22" s="79">
        <f>IF(N$12&gt;0,Rev_Fcast_TA!N22,0)</f>
        <v>107</v>
      </c>
      <c r="O22" s="79">
        <f>IF(O$12&gt;0,Rev_Fcast_TA!O22,0)</f>
        <v>108</v>
      </c>
      <c r="P22" s="79">
        <f>IF(P$12&gt;0,Rev_Fcast_TA!P22,0)</f>
        <v>109</v>
      </c>
      <c r="Q22" s="79">
        <f>IF(Q$12&gt;0,Rev_Fcast_TA!Q22,0)</f>
        <v>110</v>
      </c>
      <c r="R22" s="79">
        <f>IF(R$12&gt;0,Rev_Fcast_TA!R22,0)</f>
        <v>111</v>
      </c>
      <c r="S22" s="79">
        <f>IF(S$12&gt;0,Rev_Fcast_TA!S22,0)</f>
        <v>112</v>
      </c>
    </row>
    <row r="23" spans="3:19" ht="10.5">
      <c r="C23" s="61" t="str">
        <f>Revenue_Category_5_Name</f>
        <v>Revenue Category 5 Name</v>
      </c>
      <c r="J23" s="79">
        <f>IF(J$12&gt;0,Rev_Fcast_TA!J23,0)</f>
        <v>0</v>
      </c>
      <c r="K23" s="79">
        <f>IF(K$12&gt;0,Rev_Fcast_TA!K23,0)</f>
        <v>0</v>
      </c>
      <c r="L23" s="79">
        <f>IF(L$12&gt;0,Rev_Fcast_TA!L23,0)</f>
        <v>0</v>
      </c>
      <c r="M23" s="79">
        <f>IF(M$12&gt;0,Rev_Fcast_TA!M23,0)</f>
        <v>107</v>
      </c>
      <c r="N23" s="79">
        <f>IF(N$12&gt;0,Rev_Fcast_TA!N23,0)</f>
        <v>108</v>
      </c>
      <c r="O23" s="79">
        <f>IF(O$12&gt;0,Rev_Fcast_TA!O23,0)</f>
        <v>109</v>
      </c>
      <c r="P23" s="79">
        <f>IF(P$12&gt;0,Rev_Fcast_TA!P23,0)</f>
        <v>110</v>
      </c>
      <c r="Q23" s="79">
        <f>IF(Q$12&gt;0,Rev_Fcast_TA!Q23,0)</f>
        <v>111</v>
      </c>
      <c r="R23" s="79">
        <f>IF(R$12&gt;0,Rev_Fcast_TA!R23,0)</f>
        <v>112</v>
      </c>
      <c r="S23" s="79">
        <f>IF(S$12&gt;0,Rev_Fcast_TA!S23,0)</f>
        <v>113</v>
      </c>
    </row>
    <row r="24" spans="3:19" ht="10.5">
      <c r="C24" s="61" t="str">
        <f>Revenue_Category_6_Name</f>
        <v>Revenue Category 6 Name</v>
      </c>
      <c r="J24" s="79">
        <f>IF(J$12&gt;0,Rev_Fcast_TA!J24,0)</f>
        <v>0</v>
      </c>
      <c r="K24" s="79">
        <f>IF(K$12&gt;0,Rev_Fcast_TA!K24,0)</f>
        <v>0</v>
      </c>
      <c r="L24" s="79">
        <f>IF(L$12&gt;0,Rev_Fcast_TA!L24,0)</f>
        <v>0</v>
      </c>
      <c r="M24" s="79">
        <f>IF(M$12&gt;0,Rev_Fcast_TA!M24,0)</f>
        <v>108</v>
      </c>
      <c r="N24" s="79">
        <f>IF(N$12&gt;0,Rev_Fcast_TA!N24,0)</f>
        <v>109</v>
      </c>
      <c r="O24" s="79">
        <f>IF(O$12&gt;0,Rev_Fcast_TA!O24,0)</f>
        <v>110</v>
      </c>
      <c r="P24" s="79">
        <f>IF(P$12&gt;0,Rev_Fcast_TA!P24,0)</f>
        <v>111</v>
      </c>
      <c r="Q24" s="79">
        <f>IF(Q$12&gt;0,Rev_Fcast_TA!Q24,0)</f>
        <v>112</v>
      </c>
      <c r="R24" s="79">
        <f>IF(R$12&gt;0,Rev_Fcast_TA!R24,0)</f>
        <v>113</v>
      </c>
      <c r="S24" s="79">
        <f>IF(S$12&gt;0,Rev_Fcast_TA!S24,0)</f>
        <v>114</v>
      </c>
    </row>
    <row r="25" spans="3:19" ht="10.5">
      <c r="C25" s="78" t="str">
        <f>Rev_Fcast_TA!C25</f>
        <v>Total Revenue</v>
      </c>
      <c r="J25" s="80">
        <f>SUM(J19:J24)</f>
        <v>0</v>
      </c>
      <c r="K25" s="80">
        <f aca="true" t="shared" si="8" ref="K25:S25">SUM(K19:K24)</f>
        <v>0</v>
      </c>
      <c r="L25" s="80">
        <f t="shared" si="8"/>
        <v>0</v>
      </c>
      <c r="M25" s="80">
        <f t="shared" si="8"/>
        <v>633</v>
      </c>
      <c r="N25" s="80">
        <f t="shared" si="8"/>
        <v>639</v>
      </c>
      <c r="O25" s="80">
        <f t="shared" si="8"/>
        <v>645</v>
      </c>
      <c r="P25" s="80">
        <f t="shared" si="8"/>
        <v>651</v>
      </c>
      <c r="Q25" s="80">
        <f t="shared" si="8"/>
        <v>657</v>
      </c>
      <c r="R25" s="80">
        <f t="shared" si="8"/>
        <v>663</v>
      </c>
      <c r="S25" s="80">
        <f t="shared" si="8"/>
        <v>669</v>
      </c>
    </row>
    <row r="27" spans="3:19" ht="10.5">
      <c r="C27" s="123" t="s">
        <v>193</v>
      </c>
      <c r="I27" s="116">
        <f>IF(ISERROR(SUM(J27:S27)),1,MIN(SUM(J27:S27),1))</f>
        <v>0</v>
      </c>
      <c r="J27" s="115">
        <f>IF(ISERROR(J25),1,0)</f>
        <v>0</v>
      </c>
      <c r="K27" s="115">
        <f aca="true" t="shared" si="9" ref="K27:S27">IF(ISERROR(K25),1,0)</f>
        <v>0</v>
      </c>
      <c r="L27" s="115">
        <f t="shared" si="9"/>
        <v>0</v>
      </c>
      <c r="M27" s="115">
        <f t="shared" si="9"/>
        <v>0</v>
      </c>
      <c r="N27" s="115">
        <f t="shared" si="9"/>
        <v>0</v>
      </c>
      <c r="O27" s="115">
        <f t="shared" si="9"/>
        <v>0</v>
      </c>
      <c r="P27" s="115">
        <f t="shared" si="9"/>
        <v>0</v>
      </c>
      <c r="Q27" s="115">
        <f t="shared" si="9"/>
        <v>0</v>
      </c>
      <c r="R27" s="115">
        <f t="shared" si="9"/>
        <v>0</v>
      </c>
      <c r="S27" s="115">
        <f t="shared" si="9"/>
        <v>0</v>
      </c>
    </row>
  </sheetData>
  <sheetProtection sheet="1" objects="1" scenarios="1"/>
  <mergeCells count="1">
    <mergeCell ref="B3:F3"/>
  </mergeCells>
  <conditionalFormatting sqref="J27:S27">
    <cfRule type="cellIs" priority="1" dxfId="12" operator="notEqual" stopIfTrue="1">
      <formula>0</formula>
    </cfRule>
  </conditionalFormatting>
  <conditionalFormatting sqref="I27">
    <cfRule type="cellIs" priority="2" dxfId="12" operator="notEqual" stopIfTrue="1">
      <formula>0</formula>
    </cfRule>
  </conditionalFormatting>
  <hyperlinks>
    <hyperlink ref="B3" location="HL_Home" tooltip="Go to Table of Contents" display="HL_Home"/>
    <hyperlink ref="A4" location="$B$14" tooltip="Go to Top of Sheet" display="$B$14"/>
    <hyperlink ref="B4" location="HL_Sheet_Main_14" tooltip="Go to Previous Sheet" display="HL_Sheet_Main_14"/>
    <hyperlink ref="C4" location="HL_Sheet_Main_7" tooltip="Go to Next Sheet" display="HL_Sheet_Main_7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300" verticalDpi="300" orientation="landscape" paperSize="9" r:id="rId3"/>
  <headerFooter alignWithMargins="0">
    <oddFooter>&amp;L&amp;"Bold"&amp;7&amp;F
&amp;A
Printed: &amp;T on &amp;D&amp;C&amp;"Bold"&amp;10Page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Hutchens</dc:creator>
  <cp:keywords/>
  <dc:description/>
  <cp:lastModifiedBy>Michael Hutchens</cp:lastModifiedBy>
  <cp:lastPrinted>2010-10-11T23:47:01Z</cp:lastPrinted>
  <dcterms:created xsi:type="dcterms:W3CDTF">2010-05-18T06:11:53Z</dcterms:created>
  <dcterms:modified xsi:type="dcterms:W3CDTF">2010-11-30T01:13:29Z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XRCK">
    <vt:lpwstr>53|11757824,1|0,52|6780672,51|4204747,49|6697881,55|7929855,11|12632256,56|16777215</vt:lpwstr>
  </property>
  <property fmtid="{D5CDD505-2E9C-101B-9397-08002B2CF9AE}" pid="3" name="TBXBSCK">
    <vt:lpwstr>CO-4142|-4142/COC-4142|-4142/CS1-4142|-4142/S1S2-4142|-4142/S2BAR6|-4142/BATAR6|-4142/TABO-4142|-4142/BOTO-4142|-4142/TOLU-4142|-4142/LUMS-4142|-4142/MSCH-4142|-4142/CH</vt:lpwstr>
  </property>
</Properties>
</file>